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K:\CLIMBER\CLIMBER Reports\"/>
    </mc:Choice>
  </mc:AlternateContent>
  <xr:revisionPtr revIDLastSave="0" documentId="13_ncr:1_{8275EE39-EF5A-4007-B7A4-F2ACFB582517}" xr6:coauthVersionLast="47" xr6:coauthVersionMax="47" xr10:uidLastSave="{00000000-0000-0000-0000-000000000000}"/>
  <bookViews>
    <workbookView xWindow="28680" yWindow="-120" windowWidth="29040" windowHeight="15840" tabRatio="677" activeTab="1" xr2:uid="{00000000-000D-0000-FFFF-FFFF00000000}"/>
  </bookViews>
  <sheets>
    <sheet name="Final 2nd Tranche" sheetId="35" r:id="rId1"/>
    <sheet name="Benchmarks" sheetId="21" r:id="rId2"/>
    <sheet name="Targets" sheetId="20" r:id="rId3"/>
    <sheet name="W-V-M-R Targets" sheetId="17" r:id="rId4"/>
    <sheet name="Period" sheetId="18" r:id="rId5"/>
    <sheet name="Option 2a (delete)" sheetId="8" state="hidden" r:id="rId6"/>
  </sheets>
  <definedNames>
    <definedName name="_xlnm._FilterDatabase" localSheetId="0" hidden="1">'Final 2nd Tranche'!$A$6:$U$70</definedName>
    <definedName name="_xlnm.Print_Area" localSheetId="1">Benchmarks!$A$1:$J$71</definedName>
    <definedName name="_xlnm.Print_Area" localSheetId="0">'Final 2nd Tranche'!$A$1:$S$71</definedName>
    <definedName name="_xlnm.Print_Area" localSheetId="3">'W-V-M-R Targets'!$A$1:$J$30</definedName>
    <definedName name="_xlnm.Print_Titles" localSheetId="1">Benchmarks!$3:$4</definedName>
    <definedName name="_xlnm.Print_Titles" localSheetId="0">'Final 2nd Tranche'!$6:$6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2" i="35" l="1"/>
  <c r="L81" i="35"/>
  <c r="L80" i="35"/>
  <c r="K3" i="35"/>
  <c r="Q59" i="21"/>
  <c r="Q42" i="21"/>
  <c r="Q21" i="21"/>
  <c r="Q58" i="21"/>
  <c r="Q41" i="21"/>
  <c r="Q20" i="21"/>
  <c r="J82" i="35" l="1"/>
  <c r="J80" i="35"/>
  <c r="Q70" i="35"/>
  <c r="Q69" i="35"/>
  <c r="Q68" i="35"/>
  <c r="Q67" i="35"/>
  <c r="Q66" i="35"/>
  <c r="Q65" i="35"/>
  <c r="Q64" i="35"/>
  <c r="Q63" i="35"/>
  <c r="Q62" i="35"/>
  <c r="Q61" i="35"/>
  <c r="Q60" i="35"/>
  <c r="Q59" i="35"/>
  <c r="Q58" i="35"/>
  <c r="Q57" i="35"/>
  <c r="Q56" i="35"/>
  <c r="Q55" i="35"/>
  <c r="Q54" i="35"/>
  <c r="Q53" i="35"/>
  <c r="Q52" i="35"/>
  <c r="Q51" i="35"/>
  <c r="Q50" i="35"/>
  <c r="Q49" i="35"/>
  <c r="Q48" i="35"/>
  <c r="Q47" i="35"/>
  <c r="Q46" i="35"/>
  <c r="Q45" i="35"/>
  <c r="Q44" i="35"/>
  <c r="Q43" i="35"/>
  <c r="Q42" i="35"/>
  <c r="Q41" i="35"/>
  <c r="Q40" i="35"/>
  <c r="Q39" i="35"/>
  <c r="Q38" i="35"/>
  <c r="Q37" i="35"/>
  <c r="Q36" i="35"/>
  <c r="Q35" i="35"/>
  <c r="Q34" i="35"/>
  <c r="Q33" i="35"/>
  <c r="Q32" i="35"/>
  <c r="Q31" i="35"/>
  <c r="Q30" i="35"/>
  <c r="Q29" i="35"/>
  <c r="Q28" i="35"/>
  <c r="Q27" i="35"/>
  <c r="Q26" i="35"/>
  <c r="Q25" i="35"/>
  <c r="Q24" i="35"/>
  <c r="Q23" i="35"/>
  <c r="Q22" i="35"/>
  <c r="Q21" i="35"/>
  <c r="Q20" i="35"/>
  <c r="Q19" i="35"/>
  <c r="Q18" i="35"/>
  <c r="Q17" i="35"/>
  <c r="Q16" i="35"/>
  <c r="K4" i="35"/>
  <c r="K28" i="35" s="1"/>
  <c r="P58" i="35" l="1"/>
  <c r="P62" i="35"/>
  <c r="P8" i="35"/>
  <c r="P42" i="35"/>
  <c r="P20" i="35"/>
  <c r="P40" i="35"/>
  <c r="P45" i="35"/>
  <c r="P49" i="35"/>
  <c r="P13" i="35"/>
  <c r="P15" i="35"/>
  <c r="P17" i="35"/>
  <c r="P25" i="35"/>
  <c r="P18" i="35"/>
  <c r="P7" i="35"/>
  <c r="P52" i="35"/>
  <c r="P29" i="35"/>
  <c r="P11" i="35"/>
  <c r="P16" i="35"/>
  <c r="P43" i="35"/>
  <c r="P64" i="35"/>
  <c r="P56" i="35"/>
  <c r="P21" i="35"/>
  <c r="P9" i="35"/>
  <c r="P26" i="35"/>
  <c r="P61" i="35"/>
  <c r="P67" i="35"/>
  <c r="P33" i="35"/>
  <c r="P37" i="35"/>
  <c r="P44" i="35"/>
  <c r="P59" i="35"/>
  <c r="K79" i="35"/>
  <c r="P14" i="35"/>
  <c r="P24" i="35"/>
  <c r="P32" i="35"/>
  <c r="P36" i="35"/>
  <c r="P41" i="35"/>
  <c r="P48" i="35"/>
  <c r="C71" i="35"/>
  <c r="P10" i="35"/>
  <c r="P27" i="35"/>
  <c r="P50" i="35"/>
  <c r="P55" i="35"/>
  <c r="P12" i="35"/>
  <c r="K7" i="35"/>
  <c r="K11" i="35"/>
  <c r="K15" i="35"/>
  <c r="K20" i="35"/>
  <c r="P31" i="35"/>
  <c r="P34" i="35"/>
  <c r="P35" i="35"/>
  <c r="P38" i="35"/>
  <c r="P68" i="35"/>
  <c r="K10" i="35"/>
  <c r="P19" i="35"/>
  <c r="P22" i="35"/>
  <c r="P47" i="35"/>
  <c r="P51" i="35"/>
  <c r="P69" i="35"/>
  <c r="P65" i="35"/>
  <c r="P57" i="35"/>
  <c r="P53" i="35"/>
  <c r="K9" i="35"/>
  <c r="K13" i="35"/>
  <c r="K16" i="35"/>
  <c r="P23" i="35"/>
  <c r="P28" i="35"/>
  <c r="P54" i="35"/>
  <c r="K19" i="35"/>
  <c r="P46" i="35"/>
  <c r="P60" i="35"/>
  <c r="P70" i="35"/>
  <c r="K67" i="35"/>
  <c r="K63" i="35"/>
  <c r="K59" i="35"/>
  <c r="K55" i="35"/>
  <c r="K51" i="35"/>
  <c r="K47" i="35"/>
  <c r="K43" i="35"/>
  <c r="K39" i="35"/>
  <c r="K35" i="35"/>
  <c r="K31" i="35"/>
  <c r="K27" i="35"/>
  <c r="K23" i="35"/>
  <c r="K71" i="35"/>
  <c r="K68" i="35"/>
  <c r="K64" i="35"/>
  <c r="K60" i="35"/>
  <c r="K56" i="35"/>
  <c r="K52" i="35"/>
  <c r="K48" i="35"/>
  <c r="K44" i="35"/>
  <c r="K40" i="35"/>
  <c r="K36" i="35"/>
  <c r="K32" i="35"/>
  <c r="K69" i="35"/>
  <c r="K65" i="35"/>
  <c r="K61" i="35"/>
  <c r="K57" i="35"/>
  <c r="K53" i="35"/>
  <c r="K49" i="35"/>
  <c r="K45" i="35"/>
  <c r="K41" i="35"/>
  <c r="K37" i="35"/>
  <c r="K33" i="35"/>
  <c r="K29" i="35"/>
  <c r="K25" i="35"/>
  <c r="K21" i="35"/>
  <c r="K17" i="35"/>
  <c r="K70" i="35"/>
  <c r="K66" i="35"/>
  <c r="K62" i="35"/>
  <c r="K58" i="35"/>
  <c r="K54" i="35"/>
  <c r="K50" i="35"/>
  <c r="K46" i="35"/>
  <c r="K42" i="35"/>
  <c r="K38" i="35"/>
  <c r="K34" i="35"/>
  <c r="K30" i="35"/>
  <c r="K26" i="35"/>
  <c r="K22" i="35"/>
  <c r="K18" i="35"/>
  <c r="G74" i="35"/>
  <c r="G75" i="35" s="1"/>
  <c r="G71" i="35"/>
  <c r="K8" i="35"/>
  <c r="K12" i="35"/>
  <c r="P39" i="35"/>
  <c r="P63" i="35"/>
  <c r="K14" i="35"/>
  <c r="H74" i="35"/>
  <c r="H75" i="35" s="1"/>
  <c r="H71" i="35"/>
  <c r="K24" i="35"/>
  <c r="P30" i="35"/>
  <c r="P66" i="35"/>
  <c r="K77" i="21"/>
  <c r="C48" i="35" l="1"/>
  <c r="C22" i="35"/>
  <c r="C26" i="35"/>
  <c r="C53" i="35"/>
  <c r="C61" i="35"/>
  <c r="C38" i="35"/>
  <c r="C63" i="35"/>
  <c r="C35" i="35"/>
  <c r="C56" i="35"/>
  <c r="C58" i="35"/>
  <c r="C70" i="35"/>
  <c r="C16" i="35"/>
  <c r="C51" i="35"/>
  <c r="C10" i="35"/>
  <c r="C50" i="35"/>
  <c r="C55" i="35"/>
  <c r="C65" i="35"/>
  <c r="C27" i="35"/>
  <c r="C33" i="35"/>
  <c r="C52" i="35"/>
  <c r="C31" i="35"/>
  <c r="C18" i="35"/>
  <c r="C67" i="35"/>
  <c r="C41" i="35"/>
  <c r="C11" i="35"/>
  <c r="C49" i="35"/>
  <c r="C46" i="35"/>
  <c r="C44" i="35"/>
  <c r="C45" i="35"/>
  <c r="C9" i="35"/>
  <c r="C36" i="35"/>
  <c r="C64" i="35"/>
  <c r="C39" i="35"/>
  <c r="C7" i="35"/>
  <c r="C19" i="35"/>
  <c r="C23" i="35"/>
  <c r="C8" i="35"/>
  <c r="C34" i="35"/>
  <c r="C69" i="35"/>
  <c r="C54" i="35"/>
  <c r="C42" i="35"/>
  <c r="C21" i="35"/>
  <c r="C43" i="35"/>
  <c r="C59" i="35"/>
  <c r="C32" i="35"/>
  <c r="C66" i="35"/>
  <c r="C25" i="35"/>
  <c r="C30" i="35"/>
  <c r="C60" i="35"/>
  <c r="C47" i="35"/>
  <c r="C68" i="35"/>
  <c r="C62" i="35"/>
  <c r="C37" i="35"/>
  <c r="C14" i="35"/>
  <c r="C57" i="35"/>
  <c r="C40" i="35"/>
  <c r="C29" i="35"/>
  <c r="C15" i="35"/>
  <c r="C17" i="35"/>
  <c r="P71" i="35"/>
  <c r="P5" i="35" s="1"/>
  <c r="K80" i="35" s="1"/>
  <c r="C24" i="35"/>
  <c r="C28" i="35"/>
  <c r="C12" i="35"/>
  <c r="C20" i="35"/>
  <c r="C13" i="35"/>
  <c r="M76" i="21"/>
  <c r="M75" i="21"/>
  <c r="M77" i="21" l="1"/>
  <c r="N75" i="21" s="1"/>
  <c r="N7" i="17"/>
  <c r="N76" i="21" l="1"/>
  <c r="N77" i="21" s="1"/>
  <c r="Q13" i="35" l="1"/>
  <c r="Q12" i="35"/>
  <c r="Q14" i="35"/>
  <c r="Q15" i="35"/>
  <c r="Q8" i="35" l="1"/>
  <c r="Q9" i="35"/>
  <c r="Q10" i="35"/>
  <c r="Q11" i="35"/>
  <c r="Q7" i="35" l="1"/>
  <c r="Q71" i="35" s="1"/>
  <c r="Q5" i="35" s="1"/>
  <c r="F71" i="35"/>
  <c r="F3" i="35"/>
  <c r="F4" i="35" s="1"/>
  <c r="T3" i="35" l="1"/>
  <c r="K81" i="35"/>
  <c r="Q62" i="21" l="1"/>
  <c r="Q45" i="21"/>
  <c r="R17" i="17" l="1"/>
  <c r="P9" i="21" s="1"/>
  <c r="Q9" i="21" s="1"/>
  <c r="R9" i="21" s="1"/>
  <c r="A4" i="21" l="1"/>
  <c r="Q24" i="21"/>
  <c r="Q8" i="21"/>
  <c r="E18" i="20" l="1"/>
  <c r="E17" i="20"/>
  <c r="K6" i="20"/>
  <c r="E19" i="20" l="1"/>
  <c r="F17" i="20" s="1"/>
  <c r="R15" i="17"/>
  <c r="P25" i="21" s="1"/>
  <c r="Q25" i="21" s="1"/>
  <c r="R25" i="21" s="1"/>
  <c r="N8" i="17"/>
  <c r="P15" i="17"/>
  <c r="P26" i="21" s="1"/>
  <c r="Q26" i="21" s="1"/>
  <c r="R26" i="21" s="1"/>
  <c r="P18" i="17"/>
  <c r="P64" i="21" s="1"/>
  <c r="Q64" i="21" s="1"/>
  <c r="R64" i="21" s="1"/>
  <c r="P16" i="17"/>
  <c r="P47" i="21" s="1"/>
  <c r="Q47" i="21" s="1"/>
  <c r="R47" i="21" s="1"/>
  <c r="N15" i="17"/>
  <c r="Q15" i="17" s="1"/>
  <c r="F18" i="20" l="1"/>
  <c r="O15" i="17"/>
  <c r="O16" i="17"/>
  <c r="O18" i="17"/>
  <c r="D9" i="18" l="1"/>
  <c r="E9" i="18" s="1"/>
  <c r="D8" i="18"/>
  <c r="E8" i="18" s="1"/>
  <c r="E7" i="18"/>
  <c r="F8" i="17" l="1"/>
  <c r="F6" i="17"/>
  <c r="F5" i="17"/>
  <c r="C7" i="17"/>
  <c r="D7" i="17"/>
  <c r="G5" i="17" l="1"/>
  <c r="H5" i="17" s="1"/>
  <c r="N6" i="17"/>
  <c r="P8" i="17" s="1"/>
  <c r="P7" i="17"/>
  <c r="P17" i="17"/>
  <c r="P10" i="21" s="1"/>
  <c r="Q10" i="21" s="1"/>
  <c r="R10" i="21" s="1"/>
  <c r="G6" i="17"/>
  <c r="H6" i="17" s="1"/>
  <c r="F7" i="17"/>
  <c r="G8" i="17"/>
  <c r="H8" i="17" s="1"/>
  <c r="I6" i="17" l="1"/>
  <c r="P9" i="17"/>
  <c r="Q8" i="17" s="1"/>
  <c r="G7" i="17"/>
  <c r="H7" i="17" s="1"/>
  <c r="I8" i="17"/>
  <c r="I5" i="17"/>
  <c r="Q7" i="17" l="1"/>
  <c r="M17" i="17" s="1"/>
  <c r="J5" i="17"/>
  <c r="J7" i="17"/>
  <c r="J6" i="17"/>
  <c r="J8" i="17"/>
  <c r="I7" i="17"/>
  <c r="K7" i="17" l="1"/>
  <c r="K8" i="17"/>
  <c r="K6" i="17"/>
  <c r="K5" i="17"/>
  <c r="N17" i="17"/>
  <c r="Q17" i="17" s="1"/>
  <c r="P11" i="21"/>
  <c r="Q11" i="21" s="1"/>
  <c r="R11" i="21" s="1"/>
  <c r="R10" i="35" l="1"/>
  <c r="N10" i="35" s="1"/>
  <c r="S10" i="35" s="1"/>
  <c r="R8" i="35" l="1"/>
  <c r="N8" i="35" s="1"/>
  <c r="S8" i="35" s="1"/>
  <c r="R66" i="35"/>
  <c r="N66" i="35" s="1"/>
  <c r="S66" i="35" s="1"/>
  <c r="R39" i="35"/>
  <c r="N39" i="35" s="1"/>
  <c r="S39" i="35" s="1"/>
  <c r="R67" i="35"/>
  <c r="N67" i="35" s="1"/>
  <c r="S67" i="35" s="1"/>
  <c r="R70" i="35"/>
  <c r="N70" i="35" s="1"/>
  <c r="S70" i="35" s="1"/>
  <c r="R17" i="35"/>
  <c r="N17" i="35" s="1"/>
  <c r="S17" i="35" s="1"/>
  <c r="R28" i="35"/>
  <c r="N28" i="35" s="1"/>
  <c r="S28" i="35" s="1"/>
  <c r="R53" i="35"/>
  <c r="N53" i="35" s="1"/>
  <c r="S53" i="35" s="1"/>
  <c r="R36" i="35"/>
  <c r="N36" i="35" s="1"/>
  <c r="S36" i="35" s="1"/>
  <c r="R32" i="35"/>
  <c r="N32" i="35" s="1"/>
  <c r="S32" i="35" s="1"/>
  <c r="R48" i="35"/>
  <c r="N48" i="35" s="1"/>
  <c r="S48" i="35" s="1"/>
  <c r="R34" i="35"/>
  <c r="N34" i="35" s="1"/>
  <c r="S34" i="35" s="1"/>
  <c r="R69" i="35"/>
  <c r="N69" i="35" s="1"/>
  <c r="S69" i="35" s="1"/>
  <c r="R50" i="35"/>
  <c r="N50" i="35" s="1"/>
  <c r="S50" i="35" s="1"/>
  <c r="R46" i="35"/>
  <c r="N46" i="35" s="1"/>
  <c r="S46" i="35" s="1"/>
  <c r="R30" i="35"/>
  <c r="N30" i="35" s="1"/>
  <c r="S30" i="35" s="1"/>
  <c r="R21" i="35"/>
  <c r="N21" i="35" s="1"/>
  <c r="S21" i="35" s="1"/>
  <c r="R9" i="35"/>
  <c r="N9" i="35" s="1"/>
  <c r="S9" i="35" s="1"/>
  <c r="R16" i="35"/>
  <c r="N16" i="35" s="1"/>
  <c r="S16" i="35" s="1"/>
  <c r="R37" i="35"/>
  <c r="N37" i="35" s="1"/>
  <c r="S37" i="35" s="1"/>
  <c r="R62" i="35"/>
  <c r="N62" i="35" s="1"/>
  <c r="S62" i="35" s="1"/>
  <c r="R43" i="35"/>
  <c r="N43" i="35" s="1"/>
  <c r="S43" i="35" s="1"/>
  <c r="R64" i="35"/>
  <c r="N64" i="35" s="1"/>
  <c r="S64" i="35" s="1"/>
  <c r="R27" i="35"/>
  <c r="N27" i="35" s="1"/>
  <c r="S27" i="35" s="1"/>
  <c r="R29" i="35"/>
  <c r="N29" i="35" s="1"/>
  <c r="S29" i="35" s="1"/>
  <c r="R65" i="35"/>
  <c r="N65" i="35" s="1"/>
  <c r="S65" i="35" s="1"/>
  <c r="R33" i="35"/>
  <c r="N33" i="35" s="1"/>
  <c r="S33" i="35" s="1"/>
  <c r="R51" i="35"/>
  <c r="N51" i="35" s="1"/>
  <c r="S51" i="35" s="1"/>
  <c r="R12" i="35"/>
  <c r="N12" i="35" s="1"/>
  <c r="S12" i="35" s="1"/>
  <c r="R47" i="35"/>
  <c r="N47" i="35" s="1"/>
  <c r="S47" i="35" s="1"/>
  <c r="R59" i="35"/>
  <c r="N59" i="35" s="1"/>
  <c r="S59" i="35" s="1"/>
  <c r="R15" i="35"/>
  <c r="N15" i="35" s="1"/>
  <c r="S15" i="35" s="1"/>
  <c r="R22" i="35"/>
  <c r="N22" i="35" s="1"/>
  <c r="S22" i="35" s="1"/>
  <c r="R25" i="35"/>
  <c r="N25" i="35" s="1"/>
  <c r="S25" i="35" s="1"/>
  <c r="R49" i="35"/>
  <c r="N49" i="35" s="1"/>
  <c r="S49" i="35" s="1"/>
  <c r="R20" i="35"/>
  <c r="N20" i="35" s="1"/>
  <c r="S20" i="35" s="1"/>
  <c r="R31" i="35"/>
  <c r="N31" i="35" s="1"/>
  <c r="S31" i="35" s="1"/>
  <c r="R52" i="35"/>
  <c r="N52" i="35" s="1"/>
  <c r="S52" i="35" s="1"/>
  <c r="R23" i="35"/>
  <c r="N23" i="35" s="1"/>
  <c r="S23" i="35" s="1"/>
  <c r="R45" i="35"/>
  <c r="N45" i="35" s="1"/>
  <c r="S45" i="35" s="1"/>
  <c r="R41" i="35"/>
  <c r="N41" i="35" s="1"/>
  <c r="S41" i="35" s="1"/>
  <c r="R63" i="35"/>
  <c r="N63" i="35" s="1"/>
  <c r="S63" i="35" s="1"/>
  <c r="R68" i="35"/>
  <c r="N68" i="35" s="1"/>
  <c r="S68" i="35" s="1"/>
  <c r="R57" i="35"/>
  <c r="N57" i="35" s="1"/>
  <c r="S57" i="35" s="1"/>
  <c r="R18" i="35"/>
  <c r="N18" i="35" s="1"/>
  <c r="S18" i="35" s="1"/>
  <c r="R55" i="35"/>
  <c r="N55" i="35" s="1"/>
  <c r="S55" i="35" s="1"/>
  <c r="R38" i="35"/>
  <c r="N38" i="35" s="1"/>
  <c r="S38" i="35" s="1"/>
  <c r="R11" i="35"/>
  <c r="N11" i="35" s="1"/>
  <c r="S11" i="35" s="1"/>
  <c r="R24" i="35"/>
  <c r="N24" i="35" s="1"/>
  <c r="S24" i="35" s="1"/>
  <c r="R60" i="35"/>
  <c r="N60" i="35" s="1"/>
  <c r="S60" i="35" s="1"/>
  <c r="R40" i="35"/>
  <c r="N40" i="35" s="1"/>
  <c r="S40" i="35" s="1"/>
  <c r="R58" i="35"/>
  <c r="N58" i="35" s="1"/>
  <c r="S58" i="35" s="1"/>
  <c r="R42" i="35"/>
  <c r="N42" i="35" s="1"/>
  <c r="S42" i="35" s="1"/>
  <c r="R19" i="35" l="1"/>
  <c r="N19" i="35" s="1"/>
  <c r="S19" i="35" s="1"/>
  <c r="R61" i="35"/>
  <c r="N61" i="35" s="1"/>
  <c r="S61" i="35" s="1"/>
  <c r="R56" i="35"/>
  <c r="N56" i="35" s="1"/>
  <c r="S56" i="35" s="1"/>
  <c r="R44" i="35"/>
  <c r="N44" i="35" s="1"/>
  <c r="S44" i="35" s="1"/>
  <c r="R13" i="35"/>
  <c r="N13" i="35" s="1"/>
  <c r="S13" i="35" s="1"/>
  <c r="R26" i="35"/>
  <c r="N26" i="35" s="1"/>
  <c r="S26" i="35" s="1"/>
  <c r="R35" i="35"/>
  <c r="N35" i="35" s="1"/>
  <c r="S35" i="35" s="1"/>
  <c r="R54" i="35"/>
  <c r="N54" i="35" s="1"/>
  <c r="S54" i="35" s="1"/>
  <c r="R7" i="35"/>
  <c r="N7" i="35" s="1"/>
  <c r="R14" i="35"/>
  <c r="N14" i="35" s="1"/>
  <c r="S14" i="35" s="1"/>
  <c r="D5" i="35" l="1"/>
  <c r="N71" i="35"/>
  <c r="S7" i="35"/>
  <c r="D71" i="35"/>
  <c r="R71" i="35" s="1"/>
  <c r="S71" i="35" l="1"/>
  <c r="N5" i="35"/>
  <c r="E79" i="8"/>
  <c r="D79" i="8"/>
  <c r="B79" i="8"/>
  <c r="E78" i="8"/>
  <c r="D78" i="8"/>
  <c r="B78" i="8"/>
  <c r="E77" i="8"/>
  <c r="D77" i="8"/>
  <c r="B77" i="8"/>
  <c r="E76" i="8"/>
  <c r="D76" i="8"/>
  <c r="B76" i="8"/>
  <c r="E75" i="8"/>
  <c r="D75" i="8"/>
  <c r="B75" i="8"/>
  <c r="E74" i="8"/>
  <c r="D74" i="8"/>
  <c r="B74" i="8"/>
  <c r="E73" i="8"/>
  <c r="D73" i="8"/>
  <c r="B73" i="8"/>
  <c r="E72" i="8"/>
  <c r="D72" i="8"/>
  <c r="B72" i="8"/>
  <c r="E71" i="8"/>
  <c r="D71" i="8"/>
  <c r="B71" i="8"/>
  <c r="E70" i="8"/>
  <c r="D70" i="8"/>
  <c r="B70" i="8"/>
  <c r="E69" i="8"/>
  <c r="D69" i="8"/>
  <c r="B69" i="8"/>
  <c r="E68" i="8"/>
  <c r="D68" i="8"/>
  <c r="B68" i="8"/>
  <c r="E67" i="8"/>
  <c r="D67" i="8"/>
  <c r="B67" i="8"/>
  <c r="E66" i="8"/>
  <c r="D66" i="8"/>
  <c r="B66" i="8"/>
  <c r="E65" i="8"/>
  <c r="D65" i="8"/>
  <c r="B65" i="8"/>
  <c r="E64" i="8"/>
  <c r="D64" i="8"/>
  <c r="B64" i="8"/>
  <c r="E63" i="8"/>
  <c r="D63" i="8"/>
  <c r="B63" i="8"/>
  <c r="E62" i="8"/>
  <c r="D62" i="8"/>
  <c r="B62" i="8"/>
  <c r="E61" i="8"/>
  <c r="D61" i="8"/>
  <c r="B61" i="8"/>
  <c r="E60" i="8"/>
  <c r="D60" i="8"/>
  <c r="B60" i="8"/>
  <c r="E59" i="8"/>
  <c r="D59" i="8"/>
  <c r="B59" i="8"/>
  <c r="E58" i="8"/>
  <c r="D58" i="8"/>
  <c r="B58" i="8"/>
  <c r="E57" i="8"/>
  <c r="D57" i="8"/>
  <c r="B57" i="8"/>
  <c r="E56" i="8"/>
  <c r="D56" i="8"/>
  <c r="B56" i="8"/>
  <c r="E55" i="8"/>
  <c r="D55" i="8"/>
  <c r="B55" i="8"/>
  <c r="E54" i="8"/>
  <c r="D54" i="8"/>
  <c r="B54" i="8"/>
  <c r="E53" i="8"/>
  <c r="D53" i="8"/>
  <c r="B53" i="8"/>
  <c r="E52" i="8"/>
  <c r="D52" i="8"/>
  <c r="B52" i="8"/>
  <c r="E51" i="8"/>
  <c r="D51" i="8"/>
  <c r="B51" i="8"/>
  <c r="E50" i="8"/>
  <c r="D50" i="8"/>
  <c r="B50" i="8"/>
  <c r="E49" i="8"/>
  <c r="D49" i="8"/>
  <c r="B49" i="8"/>
  <c r="E48" i="8"/>
  <c r="D48" i="8"/>
  <c r="B48" i="8"/>
  <c r="E47" i="8"/>
  <c r="D47" i="8"/>
  <c r="B47" i="8"/>
  <c r="E46" i="8"/>
  <c r="D46" i="8"/>
  <c r="B46" i="8"/>
  <c r="E45" i="8"/>
  <c r="D45" i="8"/>
  <c r="B45" i="8"/>
  <c r="E44" i="8"/>
  <c r="D44" i="8"/>
  <c r="B44" i="8"/>
  <c r="E43" i="8"/>
  <c r="D43" i="8"/>
  <c r="B43" i="8"/>
  <c r="E42" i="8"/>
  <c r="D42" i="8"/>
  <c r="B42" i="8"/>
  <c r="E41" i="8"/>
  <c r="D41" i="8"/>
  <c r="B41" i="8"/>
  <c r="E40" i="8"/>
  <c r="D40" i="8"/>
  <c r="B40" i="8"/>
  <c r="E39" i="8"/>
  <c r="D39" i="8"/>
  <c r="B39" i="8"/>
  <c r="E38" i="8"/>
  <c r="D38" i="8"/>
  <c r="B38" i="8"/>
  <c r="E37" i="8"/>
  <c r="D37" i="8"/>
  <c r="B37" i="8"/>
  <c r="E36" i="8"/>
  <c r="D36" i="8"/>
  <c r="B36" i="8"/>
  <c r="E35" i="8"/>
  <c r="D35" i="8"/>
  <c r="B35" i="8"/>
  <c r="E34" i="8"/>
  <c r="D34" i="8"/>
  <c r="B34" i="8"/>
  <c r="E33" i="8"/>
  <c r="D33" i="8"/>
  <c r="B33" i="8"/>
  <c r="E32" i="8"/>
  <c r="D32" i="8"/>
  <c r="B32" i="8"/>
  <c r="E31" i="8"/>
  <c r="D31" i="8"/>
  <c r="B31" i="8"/>
  <c r="E30" i="8"/>
  <c r="D30" i="8"/>
  <c r="B30" i="8"/>
  <c r="E29" i="8"/>
  <c r="D29" i="8"/>
  <c r="B29" i="8"/>
  <c r="E28" i="8"/>
  <c r="D28" i="8"/>
  <c r="B28" i="8"/>
  <c r="E27" i="8"/>
  <c r="D27" i="8"/>
  <c r="B27" i="8"/>
  <c r="E26" i="8"/>
  <c r="D26" i="8"/>
  <c r="B26" i="8"/>
  <c r="E25" i="8"/>
  <c r="D25" i="8"/>
  <c r="B25" i="8"/>
  <c r="E24" i="8"/>
  <c r="D24" i="8"/>
  <c r="B24" i="8"/>
  <c r="E23" i="8"/>
  <c r="D23" i="8"/>
  <c r="B23" i="8"/>
  <c r="E22" i="8"/>
  <c r="D22" i="8"/>
  <c r="B22" i="8"/>
  <c r="E21" i="8"/>
  <c r="D21" i="8"/>
  <c r="B21" i="8"/>
  <c r="E20" i="8"/>
  <c r="D20" i="8"/>
  <c r="B20" i="8"/>
  <c r="E19" i="8"/>
  <c r="D19" i="8"/>
  <c r="B19" i="8"/>
  <c r="E18" i="8"/>
  <c r="D18" i="8"/>
  <c r="B18" i="8"/>
  <c r="E17" i="8"/>
  <c r="D17" i="8"/>
  <c r="B17" i="8"/>
  <c r="E16" i="8"/>
  <c r="D16" i="8"/>
  <c r="B16" i="8"/>
  <c r="H13" i="8"/>
  <c r="H22" i="8" s="1"/>
  <c r="K22" i="8" s="1"/>
  <c r="M38" i="8" l="1"/>
  <c r="M23" i="8"/>
  <c r="M28" i="8"/>
  <c r="M18" i="8"/>
  <c r="H16" i="8"/>
  <c r="K16" i="8" s="1"/>
  <c r="H24" i="8"/>
  <c r="K24" i="8" s="1"/>
  <c r="M75" i="8"/>
  <c r="M22" i="8"/>
  <c r="N22" i="8" s="1"/>
  <c r="M39" i="8"/>
  <c r="M44" i="8"/>
  <c r="M60" i="8"/>
  <c r="H41" i="8"/>
  <c r="K41" i="8" s="1"/>
  <c r="H32" i="8"/>
  <c r="K32" i="8" s="1"/>
  <c r="H30" i="8"/>
  <c r="K30" i="8" s="1"/>
  <c r="M56" i="8"/>
  <c r="H40" i="8"/>
  <c r="K40" i="8" s="1"/>
  <c r="S5" i="35"/>
  <c r="K82" i="35"/>
  <c r="K83" i="35" s="1"/>
  <c r="M26" i="8"/>
  <c r="H38" i="8"/>
  <c r="K38" i="8" s="1"/>
  <c r="T71" i="35"/>
  <c r="T6" i="35"/>
  <c r="T10" i="35"/>
  <c r="T65" i="35"/>
  <c r="T52" i="35"/>
  <c r="T67" i="35"/>
  <c r="T39" i="35"/>
  <c r="T66" i="35"/>
  <c r="T46" i="35"/>
  <c r="T37" i="35"/>
  <c r="T22" i="35"/>
  <c r="T40" i="35"/>
  <c r="T42" i="35"/>
  <c r="T28" i="35"/>
  <c r="T50" i="35"/>
  <c r="T38" i="35"/>
  <c r="T55" i="35"/>
  <c r="T29" i="35"/>
  <c r="T57" i="35"/>
  <c r="T60" i="35"/>
  <c r="T58" i="35"/>
  <c r="T8" i="35"/>
  <c r="T17" i="35"/>
  <c r="T45" i="35"/>
  <c r="T70" i="35"/>
  <c r="T31" i="35"/>
  <c r="T23" i="35"/>
  <c r="T20" i="35"/>
  <c r="T68" i="35"/>
  <c r="T24" i="35"/>
  <c r="T34" i="35"/>
  <c r="T25" i="35"/>
  <c r="T15" i="35"/>
  <c r="T59" i="35"/>
  <c r="T47" i="35"/>
  <c r="T63" i="35"/>
  <c r="T11" i="35"/>
  <c r="T33" i="35"/>
  <c r="T48" i="35"/>
  <c r="T27" i="35"/>
  <c r="T64" i="35"/>
  <c r="T43" i="35"/>
  <c r="T49" i="35"/>
  <c r="T41" i="35"/>
  <c r="T16" i="35"/>
  <c r="T9" i="35"/>
  <c r="T21" i="35"/>
  <c r="T30" i="35"/>
  <c r="T12" i="35"/>
  <c r="T69" i="35"/>
  <c r="T18" i="35"/>
  <c r="T32" i="35"/>
  <c r="T36" i="35"/>
  <c r="T53" i="35"/>
  <c r="T62" i="35"/>
  <c r="T51" i="35"/>
  <c r="T54" i="35"/>
  <c r="T44" i="35"/>
  <c r="T35" i="35"/>
  <c r="T13" i="35"/>
  <c r="T61" i="35"/>
  <c r="T19" i="35"/>
  <c r="T14" i="35"/>
  <c r="T26" i="35"/>
  <c r="T56" i="35"/>
  <c r="T7" i="35"/>
  <c r="M25" i="8"/>
  <c r="M40" i="8"/>
  <c r="N40" i="8" s="1"/>
  <c r="M67" i="8"/>
  <c r="M51" i="8"/>
  <c r="M19" i="8"/>
  <c r="M24" i="8"/>
  <c r="N24" i="8" s="1"/>
  <c r="M29" i="8"/>
  <c r="M41" i="8"/>
  <c r="M49" i="8"/>
  <c r="M76" i="8"/>
  <c r="M16" i="8"/>
  <c r="M21" i="8"/>
  <c r="M33" i="8"/>
  <c r="M31" i="8"/>
  <c r="M46" i="8"/>
  <c r="M70" i="8"/>
  <c r="M78" i="8"/>
  <c r="M17" i="8"/>
  <c r="M27" i="8"/>
  <c r="M32" i="8"/>
  <c r="M34" i="8"/>
  <c r="M47" i="8"/>
  <c r="M63" i="8"/>
  <c r="M20" i="8"/>
  <c r="M30" i="8"/>
  <c r="M42" i="8"/>
  <c r="M58" i="8"/>
  <c r="M77" i="8"/>
  <c r="H23" i="8"/>
  <c r="K23" i="8" s="1"/>
  <c r="H31" i="8"/>
  <c r="K31" i="8" s="1"/>
  <c r="H39" i="8"/>
  <c r="K39" i="8" s="1"/>
  <c r="B80" i="8"/>
  <c r="C32" i="8" s="1"/>
  <c r="H29" i="8"/>
  <c r="H20" i="8"/>
  <c r="H80" i="8"/>
  <c r="H37" i="8"/>
  <c r="K37" i="8" s="1"/>
  <c r="H28" i="8"/>
  <c r="K28" i="8" s="1"/>
  <c r="H36" i="8"/>
  <c r="K36" i="8" s="1"/>
  <c r="H35" i="8"/>
  <c r="K35" i="8" s="1"/>
  <c r="H18" i="8"/>
  <c r="H26" i="8"/>
  <c r="H34" i="8"/>
  <c r="H42" i="8"/>
  <c r="K42" i="8" s="1"/>
  <c r="H43" i="8"/>
  <c r="K43" i="8" s="1"/>
  <c r="H44" i="8"/>
  <c r="H45" i="8"/>
  <c r="K45" i="8" s="1"/>
  <c r="H46" i="8"/>
  <c r="K46" i="8" s="1"/>
  <c r="H47" i="8"/>
  <c r="K47" i="8" s="1"/>
  <c r="H48" i="8"/>
  <c r="K48" i="8" s="1"/>
  <c r="H49" i="8"/>
  <c r="K49" i="8" s="1"/>
  <c r="H50" i="8"/>
  <c r="K50" i="8" s="1"/>
  <c r="H51" i="8"/>
  <c r="H52" i="8"/>
  <c r="K52" i="8" s="1"/>
  <c r="H53" i="8"/>
  <c r="K53" i="8" s="1"/>
  <c r="H54" i="8"/>
  <c r="K54" i="8" s="1"/>
  <c r="H55" i="8"/>
  <c r="K55" i="8" s="1"/>
  <c r="H56" i="8"/>
  <c r="H57" i="8"/>
  <c r="K57" i="8" s="1"/>
  <c r="H58" i="8"/>
  <c r="H59" i="8"/>
  <c r="K59" i="8" s="1"/>
  <c r="H60" i="8"/>
  <c r="H61" i="8"/>
  <c r="K61" i="8" s="1"/>
  <c r="H62" i="8"/>
  <c r="K62" i="8" s="1"/>
  <c r="H63" i="8"/>
  <c r="H64" i="8"/>
  <c r="K64" i="8" s="1"/>
  <c r="H65" i="8"/>
  <c r="K65" i="8" s="1"/>
  <c r="H66" i="8"/>
  <c r="K66" i="8" s="1"/>
  <c r="H67" i="8"/>
  <c r="H68" i="8"/>
  <c r="K68" i="8" s="1"/>
  <c r="H69" i="8"/>
  <c r="K69" i="8" s="1"/>
  <c r="H70" i="8"/>
  <c r="K70" i="8" s="1"/>
  <c r="H71" i="8"/>
  <c r="K71" i="8" s="1"/>
  <c r="H72" i="8"/>
  <c r="K72" i="8" s="1"/>
  <c r="H73" i="8"/>
  <c r="K73" i="8" s="1"/>
  <c r="H74" i="8"/>
  <c r="K74" i="8" s="1"/>
  <c r="H75" i="8"/>
  <c r="H76" i="8"/>
  <c r="H77" i="8"/>
  <c r="H78" i="8"/>
  <c r="H79" i="8"/>
  <c r="K79" i="8" s="1"/>
  <c r="H21" i="8"/>
  <c r="K21" i="8" s="1"/>
  <c r="H19" i="8"/>
  <c r="H27" i="8"/>
  <c r="H17" i="8"/>
  <c r="H25" i="8"/>
  <c r="H33" i="8"/>
  <c r="N38" i="8" l="1"/>
  <c r="N41" i="8"/>
  <c r="N16" i="8"/>
  <c r="N32" i="8"/>
  <c r="N30" i="8"/>
  <c r="K77" i="8"/>
  <c r="N77" i="8" s="1"/>
  <c r="K78" i="8"/>
  <c r="N78" i="8" s="1"/>
  <c r="K25" i="8"/>
  <c r="N25" i="8" s="1"/>
  <c r="K60" i="8"/>
  <c r="N60" i="8" s="1"/>
  <c r="K33" i="8"/>
  <c r="N33" i="8" s="1"/>
  <c r="K44" i="8"/>
  <c r="N44" i="8" s="1"/>
  <c r="K17" i="8"/>
  <c r="N17" i="8" s="1"/>
  <c r="K67" i="8"/>
  <c r="N67" i="8" s="1"/>
  <c r="K51" i="8"/>
  <c r="N51" i="8" s="1"/>
  <c r="K63" i="8"/>
  <c r="N63" i="8" s="1"/>
  <c r="K18" i="8"/>
  <c r="N18" i="8" s="1"/>
  <c r="K76" i="8"/>
  <c r="N76" i="8" s="1"/>
  <c r="K58" i="8"/>
  <c r="N58" i="8" s="1"/>
  <c r="C18" i="8"/>
  <c r="K75" i="8"/>
  <c r="N75" i="8" s="1"/>
  <c r="K27" i="8"/>
  <c r="N27" i="8" s="1"/>
  <c r="K19" i="8"/>
  <c r="N19" i="8" s="1"/>
  <c r="K34" i="8"/>
  <c r="N34" i="8" s="1"/>
  <c r="K20" i="8"/>
  <c r="N20" i="8" s="1"/>
  <c r="K56" i="8"/>
  <c r="N56" i="8" s="1"/>
  <c r="K26" i="8"/>
  <c r="N26" i="8" s="1"/>
  <c r="K29" i="8"/>
  <c r="N29" i="8" s="1"/>
  <c r="N70" i="8"/>
  <c r="N49" i="8"/>
  <c r="N47" i="8"/>
  <c r="N46" i="8"/>
  <c r="C22" i="8"/>
  <c r="N21" i="8"/>
  <c r="N23" i="8"/>
  <c r="N39" i="8"/>
  <c r="N31" i="8"/>
  <c r="N28" i="8"/>
  <c r="C50" i="8"/>
  <c r="C20" i="8"/>
  <c r="C24" i="8"/>
  <c r="C43" i="8"/>
  <c r="C33" i="8"/>
  <c r="C77" i="8"/>
  <c r="C19" i="8"/>
  <c r="C29" i="8"/>
  <c r="C78" i="8"/>
  <c r="C76" i="8"/>
  <c r="C74" i="8"/>
  <c r="C73" i="8"/>
  <c r="C69" i="8"/>
  <c r="C67" i="8"/>
  <c r="C65" i="8"/>
  <c r="C63" i="8"/>
  <c r="C60" i="8"/>
  <c r="C58" i="8"/>
  <c r="C52" i="8"/>
  <c r="C35" i="8"/>
  <c r="C79" i="8"/>
  <c r="C75" i="8"/>
  <c r="C72" i="8"/>
  <c r="C71" i="8"/>
  <c r="C70" i="8"/>
  <c r="C68" i="8"/>
  <c r="C64" i="8"/>
  <c r="C61" i="8"/>
  <c r="C59" i="8"/>
  <c r="C56" i="8"/>
  <c r="C55" i="8"/>
  <c r="C54" i="8"/>
  <c r="C53" i="8"/>
  <c r="C27" i="8"/>
  <c r="C80" i="8"/>
  <c r="C66" i="8"/>
  <c r="C62" i="8"/>
  <c r="C57" i="8"/>
  <c r="C37" i="8"/>
  <c r="C21" i="8"/>
  <c r="C41" i="8"/>
  <c r="C38" i="8"/>
  <c r="C48" i="8"/>
  <c r="C39" i="8"/>
  <c r="C30" i="8"/>
  <c r="C16" i="8"/>
  <c r="C17" i="8"/>
  <c r="C46" i="8"/>
  <c r="C34" i="8"/>
  <c r="C51" i="8"/>
  <c r="C47" i="8"/>
  <c r="C49" i="8"/>
  <c r="C26" i="8"/>
  <c r="C44" i="8"/>
  <c r="C28" i="8"/>
  <c r="C25" i="8"/>
  <c r="C31" i="8"/>
  <c r="C36" i="8"/>
  <c r="N42" i="8"/>
  <c r="C40" i="8"/>
  <c r="C23" i="8"/>
  <c r="C45" i="8"/>
  <c r="C42" i="8"/>
  <c r="K80" i="8" l="1"/>
  <c r="M43" i="8" s="1"/>
  <c r="N43" i="8" s="1"/>
  <c r="M68" i="8" l="1"/>
  <c r="N68" i="8" s="1"/>
  <c r="M73" i="8"/>
  <c r="N73" i="8" s="1"/>
  <c r="M69" i="8"/>
  <c r="N69" i="8" s="1"/>
  <c r="M52" i="8"/>
  <c r="N52" i="8" s="1"/>
  <c r="M74" i="8"/>
  <c r="N74" i="8" s="1"/>
  <c r="M36" i="8"/>
  <c r="N36" i="8" s="1"/>
  <c r="M35" i="8"/>
  <c r="N35" i="8" s="1"/>
  <c r="M72" i="8"/>
  <c r="N72" i="8" s="1"/>
  <c r="M79" i="8"/>
  <c r="N79" i="8" s="1"/>
  <c r="M55" i="8"/>
  <c r="N55" i="8" s="1"/>
  <c r="K13" i="8"/>
  <c r="M50" i="8"/>
  <c r="N50" i="8" s="1"/>
  <c r="M62" i="8"/>
  <c r="N62" i="8" s="1"/>
  <c r="M37" i="8"/>
  <c r="N37" i="8" s="1"/>
  <c r="M45" i="8"/>
  <c r="N45" i="8" s="1"/>
  <c r="M53" i="8"/>
  <c r="N53" i="8" s="1"/>
  <c r="M66" i="8"/>
  <c r="N66" i="8" s="1"/>
  <c r="M64" i="8"/>
  <c r="N64" i="8" s="1"/>
  <c r="M61" i="8"/>
  <c r="N61" i="8" s="1"/>
  <c r="M48" i="8"/>
  <c r="N48" i="8" s="1"/>
  <c r="M57" i="8"/>
  <c r="N57" i="8" s="1"/>
  <c r="M71" i="8"/>
  <c r="N71" i="8" s="1"/>
  <c r="M59" i="8"/>
  <c r="N59" i="8" s="1"/>
  <c r="M65" i="8"/>
  <c r="N65" i="8" s="1"/>
  <c r="M54" i="8"/>
  <c r="N54" i="8" s="1"/>
  <c r="M13" i="8" l="1"/>
  <c r="M80" i="8"/>
  <c r="N80" i="8"/>
  <c r="N13" i="8" l="1"/>
</calcChain>
</file>

<file path=xl/sharedStrings.xml><?xml version="1.0" encoding="utf-8"?>
<sst xmlns="http://schemas.openxmlformats.org/spreadsheetml/2006/main" count="548" uniqueCount="296">
  <si>
    <t>NUMBER OF ESTABLISHMENTS</t>
  </si>
  <si>
    <r>
      <t xml:space="preserve">SOURCE: 2017 County Business Patterns and 2017 Economic Census.  For information on confidentiality protection, sampling error, and nonsampling error, see </t>
    </r>
    <r>
      <rPr>
        <b/>
        <u/>
        <sz val="7"/>
        <rFont val="Arial"/>
        <family val="2"/>
      </rPr>
      <t>https://www.census.gov/programs-surveys/susb/technical-documentation/methodology.html</t>
    </r>
    <r>
      <rPr>
        <b/>
        <sz val="7"/>
        <rFont val="Arial"/>
        <family val="2"/>
      </rPr>
      <t xml:space="preserve">.  </t>
    </r>
  </si>
  <si>
    <t/>
  </si>
  <si>
    <t>Jackson</t>
  </si>
  <si>
    <t>Jefferson</t>
  </si>
  <si>
    <t>Morgan</t>
  </si>
  <si>
    <t>Washington</t>
  </si>
  <si>
    <t>Yuma</t>
  </si>
  <si>
    <t>Lincoln</t>
  </si>
  <si>
    <t>Logan</t>
  </si>
  <si>
    <t>Phillips</t>
  </si>
  <si>
    <t>Lake</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</si>
  <si>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</si>
  <si>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</si>
  <si>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</si>
  <si>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</si>
  <si>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</si>
  <si>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</si>
  <si>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</si>
  <si>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</si>
  <si>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</si>
  <si>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</si>
  <si>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</si>
  <si>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</si>
  <si>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</si>
  <si>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</si>
  <si>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</si>
  <si>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</si>
  <si>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</si>
  <si>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</si>
  <si>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</si>
  <si>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</si>
  <si>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</si>
  <si>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</si>
  <si>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</si>
  <si>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</si>
  <si>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</si>
  <si>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</si>
  <si>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</si>
  <si>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</si>
  <si>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</si>
  <si>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</si>
  <si>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</si>
  <si>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</si>
  <si>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</si>
  <si>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</si>
  <si>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</si>
  <si>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</si>
  <si>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</si>
  <si>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</si>
  <si>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</si>
  <si>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</si>
  <si>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</si>
  <si>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</si>
  <si>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Pitkin</t>
  </si>
  <si>
    <t>Prowers</t>
  </si>
  <si>
    <t>Pueblo</t>
  </si>
  <si>
    <t>Rio Blanco</t>
  </si>
  <si>
    <t>Rio Grande</t>
  </si>
  <si>
    <t>Routt</t>
  </si>
  <si>
    <t>Saguache</t>
  </si>
  <si>
    <t>San Juan</t>
  </si>
  <si>
    <t>San Miguel</t>
  </si>
  <si>
    <t>Sedgwick</t>
  </si>
  <si>
    <t>Summit</t>
  </si>
  <si>
    <t>Teller</t>
  </si>
  <si>
    <t>Weld</t>
  </si>
  <si>
    <t>Grand Total</t>
  </si>
  <si>
    <t>LOAN FUNDING MUST BE SUBJECT TO AN INITIAL PERIOD OF TIME IN WHICH A</t>
  </si>
  <si>
    <t>PORTION OF THE MONEY IS ALLOCATED TO EACH COUNTY ON A BASIS</t>
  </si>
  <si>
    <t>PROPORTIONAL TO THE COUNTY'S SHARE OF SMALL BUSINESSES RELATIVE TO</t>
  </si>
  <si>
    <t>THE STATE, THE COUNTY'S SHARE OF SMALL BUSINESS EMPLOYEES RELATIVE</t>
  </si>
  <si>
    <t>TO THE STATE, THE COUNTY'S SHARE OF SMALL BUSINESS PERSONAL</t>
  </si>
  <si>
    <t>PROPERTY RELATIVE TO THE STATE, OR OTHER SIMILAR METRICS AS</t>
  </si>
  <si>
    <t>DETERMINED BY THE OVERSIGHT BOARD, OR BASED ON A FORMULA</t>
  </si>
  <si>
    <t>ESTABLISHED UNDER SUBSECTION (4)(c)(IV) OF THIS SECTION.</t>
  </si>
  <si>
    <t>(4)(c) OR ESTABLISH ALTERNATIVE GEOGRAPHIC DISTRIBUTION</t>
  </si>
  <si>
    <t>REQUIREMENTS OR TARGETS.</t>
  </si>
  <si>
    <t>(IV) FOR ANY TRANCHE OF LOAN FUNDING, THE OVERSIGHT BOARD</t>
  </si>
  <si>
    <t>MAY, IN ITS DISCRETION, ESTABLISH AN ALTERNATIVE FORMULA FOR THE</t>
  </si>
  <si>
    <t>ALLOCATION OF FUNDS TO COUNTIES FOR PURPOSES OF SUBSECTION (4)(c)(I)</t>
  </si>
  <si>
    <t>OF THIS SECTION THAT ACCOUNTS FOR HOW AFFECTED EACH COUNTY HAS</t>
  </si>
  <si>
    <t>BEEN BY THE COVID-19 PANDEMIC AND ITS IMPACTS.</t>
  </si>
  <si>
    <t>Tranche</t>
  </si>
  <si>
    <t>https://www.federalreserve.gov/newsevents/pressreleases/files/bcreg20200624a1.pdf</t>
  </si>
  <si>
    <t>For Establishments with 0 to 99 Employees</t>
  </si>
  <si>
    <t>DISTRESSED</t>
  </si>
  <si>
    <t>UNDER-SERVED</t>
  </si>
  <si>
    <t>X</t>
  </si>
  <si>
    <t xml:space="preserve"> </t>
  </si>
  <si>
    <t>HB20-1413</t>
  </si>
  <si>
    <t>Population</t>
  </si>
  <si>
    <t>County</t>
  </si>
  <si>
    <t>% of State Population</t>
  </si>
  <si>
    <t>% OF ESTABLISHMENTS</t>
  </si>
  <si>
    <t>% OF EMPLOYMENT</t>
  </si>
  <si>
    <t>% OF ANNUAL PAYROLL</t>
  </si>
  <si>
    <t>(4)(c) (I) IN ORDER TO ENSURE GEOGRAPHIC EQUITY, EACH TRANCHE OF</t>
  </si>
  <si>
    <t>THE OVERSIGHT BOARD MAY WAIVE THE REQUIREMENTS OF THIS SUBSECTION</t>
  </si>
  <si>
    <t>(4)(c)(III) FOR MONEY CONTRIBUTED TO THE COLORADO CREDIT RESERVE,</t>
  </si>
  <si>
    <t>Share of Tranche (% of Establishments)</t>
  </si>
  <si>
    <t>General Pool</t>
  </si>
  <si>
    <t>Minimum/county</t>
  </si>
  <si>
    <t>Allocate:</t>
  </si>
  <si>
    <t>Total</t>
  </si>
  <si>
    <t>Distressed/Underserved</t>
  </si>
  <si>
    <t>*If either Distressed or Underserved, then split the remaining x amount.</t>
  </si>
  <si>
    <t>Distressed/Underserved* ("x" remaining)</t>
  </si>
  <si>
    <t>for Geo. Distr.</t>
  </si>
  <si>
    <t>Total - Gographic, General Pool, and "x"</t>
  </si>
  <si>
    <t>"x" remaining amt.</t>
  </si>
  <si>
    <t>Will Delete</t>
  </si>
  <si>
    <t>$ Allocated to Minority Pop.</t>
  </si>
  <si>
    <t>Total Allocated</t>
  </si>
  <si>
    <t>Veteran</t>
  </si>
  <si>
    <t>Allocate %:</t>
  </si>
  <si>
    <t>"x" amount for D and U-S</t>
  </si>
  <si>
    <t>* from MAP tab</t>
  </si>
  <si>
    <t>County's % of Minority to State Minority Population*</t>
  </si>
  <si>
    <t>Minority as a % of County Population*</t>
  </si>
  <si>
    <t>Women</t>
  </si>
  <si>
    <t>Owned</t>
  </si>
  <si>
    <t>Minority</t>
  </si>
  <si>
    <t>Statewide Targets</t>
  </si>
  <si>
    <t>% Employee Businesses</t>
  </si>
  <si>
    <t>Current (2018)</t>
  </si>
  <si>
    <t>% of Population</t>
  </si>
  <si>
    <t>Rural</t>
  </si>
  <si>
    <t>(d) ESTABLISHING AND PUBLISHING TARGETS FOR THE PERCENTAGE</t>
  </si>
  <si>
    <t>OF LOANS SUPPORTED BY A LOAN PROGRAM THAT ARE MADE TO BUSINESSES</t>
  </si>
  <si>
    <t>OWNED BY WOMEN, MINORITIES, AND VETERANS AND TO BUSINESSES</t>
  </si>
  <si>
    <t>LOCATED IN RURAL COUNTIES. IN ESTABLISHING THE TARGETS REQUIRED BY</t>
  </si>
  <si>
    <t>THIS SUBSECTION (8)(d), THE OVERSIGHT BOARD SHALL CONSULT WITH THE</t>
  </si>
  <si>
    <t>MINORITY BUSINESS OFFICE WITHIN THE OFFICE OF THE GOVERNOR AND THE</t>
  </si>
  <si>
    <t>DIVISION OF BUSINESS FUNDING AND INCENTIVES WITHIN THE OFFICE OF</t>
  </si>
  <si>
    <t>ECONOMIC DEVELOPMENT;</t>
  </si>
  <si>
    <t>(e) REGULARLY REVIEWING PROGRESS IN ACHIEVING THE TARGETS</t>
  </si>
  <si>
    <t>ESTABLISHED PURSUANT TO SUBSECTION (8)(d) OF THIS SECTION AND</t>
  </si>
  <si>
    <t>MAKING ADJUSTMENTS TO A LOAN PROGRAM TO HELP ACHIEVE THE TARGETS</t>
  </si>
  <si>
    <t>IF NEEDED; AND</t>
  </si>
  <si>
    <t>(f) PROVIDING SUCH ADDITIONAL OVERSIGHT AND CREATING</t>
  </si>
  <si>
    <t>POLICIES AND PROCEDURES AS MAY BE NECESSARY TO ENSURE THAT THE</t>
  </si>
  <si>
    <t>PROGRAM COMPLIES WITH THE REQUIREMENTS OF THIS PART 2 AND FULFILLS</t>
  </si>
  <si>
    <t>ITS PURPOSE OF SUPPORTING THE STATE'S RECOVERY FROM THE COVID-19</t>
  </si>
  <si>
    <t>PANDEMIC BY ASSISTING COLORADO SMALL BUSINESSES IN RECOVERING</t>
  </si>
  <si>
    <t>FROM THE CRISIS CAUSED BY COVID-19.</t>
  </si>
  <si>
    <t>Rural County &lt; 50,000 people</t>
  </si>
  <si>
    <t>%  Businesses*</t>
  </si>
  <si>
    <t>Suggested</t>
  </si>
  <si>
    <t>Period for Allocation to Counties</t>
  </si>
  <si>
    <t>One Month</t>
  </si>
  <si>
    <t>Two Months</t>
  </si>
  <si>
    <t>Three Months</t>
  </si>
  <si>
    <t>Period</t>
  </si>
  <si>
    <t>Start Date</t>
  </si>
  <si>
    <t>End Date</t>
  </si>
  <si>
    <t>with Oversight Board's option to extend based on level of participation</t>
  </si>
  <si>
    <t>Gold</t>
  </si>
  <si>
    <t>Silver</t>
  </si>
  <si>
    <t>Success if reached:</t>
  </si>
  <si>
    <t>Bronze</t>
  </si>
  <si>
    <t>*Census Annual Community Survey, 2018, 5-Yr Estimates as summarized in "Mapping Minority Businesses in Colorado", Page 6 -  % of all states classifiable businesses</t>
  </si>
  <si>
    <t>For discussion: 5% Increments</t>
  </si>
  <si>
    <t>non-minority</t>
  </si>
  <si>
    <t>Black and Hispanic</t>
  </si>
  <si>
    <t>White - non-hispanic</t>
  </si>
  <si>
    <t>Historic Share</t>
  </si>
  <si>
    <t>2020-sbcs-employer-firms-report (page 9) (14 of 37)</t>
  </si>
  <si>
    <t>Historic Share of Bank and Credit Union Loans</t>
  </si>
  <si>
    <t>SBA 7a % of # of Loans</t>
  </si>
  <si>
    <t>% of Employee Businesses in CO</t>
  </si>
  <si>
    <t>Tier Color</t>
  </si>
  <si>
    <t>Rationale for Minority Targets</t>
  </si>
  <si>
    <t>Source</t>
  </si>
  <si>
    <t>Exceeds Objective</t>
  </si>
  <si>
    <t>21% is the percent of SBA 7A loans made to minority businesses in Colorado</t>
  </si>
  <si>
    <t>SBA Report (data from 2019 to 2017)</t>
  </si>
  <si>
    <t xml:space="preserve"> 21% and above</t>
  </si>
  <si>
    <t>39% and above</t>
  </si>
  <si>
    <t>11% and above</t>
  </si>
  <si>
    <t>17% and above</t>
  </si>
  <si>
    <t>Name: Light Gold</t>
  </si>
  <si>
    <t>Name: Light Silver</t>
  </si>
  <si>
    <t>Name: Bronze (Metallic)</t>
  </si>
  <si>
    <t>Meets Objective</t>
  </si>
  <si>
    <t>18% is the percent of minority businesses within Colorado among all small businesses with employees adding Hispanic to Minority Ethnicity</t>
  </si>
  <si>
    <t>18 to 20.9 %</t>
  </si>
  <si>
    <t>34 to 38.9%</t>
  </si>
  <si>
    <t>9 to 10.9%</t>
  </si>
  <si>
    <t>15 to 16.9%</t>
  </si>
  <si>
    <t>Hex: #AF9500</t>
  </si>
  <si>
    <t>Hex: #D7D7D7</t>
  </si>
  <si>
    <t>Hex: #AD8A56</t>
  </si>
  <si>
    <t>Partially Meets Objective</t>
  </si>
  <si>
    <t>Combination of % of businesses from above with lender data supplied by Federal Reserve 2020 Report on Employer Firms Small Business Credit Survey, p. 9.</t>
  </si>
  <si>
    <t>13 to 17.9%</t>
  </si>
  <si>
    <t>28 to 33.9%</t>
  </si>
  <si>
    <t>6 to 8.9%</t>
  </si>
  <si>
    <t>11 to 14.9%</t>
  </si>
  <si>
    <t>RGB: (175, 149, 0)</t>
  </si>
  <si>
    <t>RGB: (215, 215, 215)</t>
  </si>
  <si>
    <t>RGB: (173, 138, 86)</t>
  </si>
  <si>
    <t>None</t>
  </si>
  <si>
    <t>Does Not Meet Objective</t>
  </si>
  <si>
    <t>Below historic share of bank loans</t>
  </si>
  <si>
    <t>below 13%</t>
  </si>
  <si>
    <t>below 28%</t>
  </si>
  <si>
    <t>below 6%</t>
  </si>
  <si>
    <t>below 11%</t>
  </si>
  <si>
    <t>CMYK: 0, 0.148, 1, 0.313</t>
  </si>
  <si>
    <t>CMYK: 0, 0, 0, 0.156</t>
  </si>
  <si>
    <t>CMYK: 0, 0.202, 0.502, 0.321</t>
  </si>
  <si>
    <t>**These target percentages are based on number of loans and NOT percent of loan capital.</t>
  </si>
  <si>
    <t>percent receiving loan from banks/CU***</t>
  </si>
  <si>
    <t># receiving loans</t>
  </si>
  <si>
    <t>market share</t>
  </si>
  <si>
    <t>Minority businesses</t>
  </si>
  <si>
    <t>Non-Minority businesses</t>
  </si>
  <si>
    <t>***lender data supplied by Federal Reserve 2020 Report on Employer Firms Small Business Credit Survey, p. 9.</t>
  </si>
  <si>
    <t>For the women owned businesses the SBA 7A loans were lower than the percent of women owned businesses as a percent of total businesses so we used the SBA data as the "meets objective" threshold.</t>
  </si>
  <si>
    <t>Census Annual Community Survey, 2018, 5-Yr Estimates as summarized in "Mapping Minority Businesses in Colorado", Page 6 - % of all states classifiable businesses</t>
  </si>
  <si>
    <t>The targets for "meets objective" for all business types except women owned were set based on the percent of those businesses among all employer businesses.</t>
  </si>
  <si>
    <t>Estimation of Historic Market Share of Bank and Credit Union Loans Received by Minority Businesses</t>
  </si>
  <si>
    <t>Percent in population</t>
  </si>
  <si>
    <t>34% for minority businesses is an average of the Black Non-Hispanic percents 31% and the Hispanic 36% weighted slightly toward the Hispanic percent</t>
  </si>
  <si>
    <t>13% is estimated historic share of bank and credit unions loans to minority businesses in Colorado</t>
  </si>
  <si>
    <t>Approved: 10/8/20</t>
  </si>
  <si>
    <t>Ground work for final targets</t>
  </si>
  <si>
    <t>% of Estab.</t>
  </si>
  <si>
    <t>Targets for Establishments with 99 or less employees (Small Businesses)</t>
  </si>
  <si>
    <t>(categories are NOT mutually exclusive)</t>
  </si>
  <si>
    <t>The lower bound in each category is the statistical representation in CO at this time.</t>
  </si>
  <si>
    <t>Description 
(preferred term)</t>
  </si>
  <si>
    <t>Targets for Number of Loans** Made to Businesses Owned by or Located in the Demographics Below</t>
  </si>
  <si>
    <r>
      <rPr>
        <vertAlign val="superscript"/>
        <sz val="11"/>
        <color theme="1"/>
        <rFont val="Calibri"/>
        <family val="2"/>
        <scheme val="minor"/>
      </rPr>
      <t>(1)</t>
    </r>
    <r>
      <rPr>
        <sz val="11"/>
        <color theme="1"/>
        <rFont val="Calibri"/>
        <family val="2"/>
        <scheme val="minor"/>
      </rPr>
      <t xml:space="preserve"> For all non-minority businesses the other tiers, besides "meets", were set using spreads of whole percents roughly proportional to the ones used for minority businesses.</t>
    </r>
  </si>
  <si>
    <r>
      <rPr>
        <b/>
        <vertAlign val="superscript"/>
        <sz val="11"/>
        <color theme="1"/>
        <rFont val="Calibri"/>
        <family val="2"/>
        <scheme val="minor"/>
      </rPr>
      <t xml:space="preserve">(1) </t>
    </r>
    <r>
      <rPr>
        <b/>
        <sz val="11"/>
        <color theme="1"/>
        <rFont val="Calibri"/>
        <family val="2"/>
        <scheme val="minor"/>
      </rPr>
      <t>Set Exceeds at + 5% of Minority or $128% of "Meets"... applied to Women/Veteran/Rural %'s</t>
    </r>
  </si>
  <si>
    <r>
      <rPr>
        <b/>
        <vertAlign val="superscript"/>
        <sz val="11"/>
        <color theme="1"/>
        <rFont val="Calibri"/>
        <family val="2"/>
        <scheme val="minor"/>
      </rPr>
      <t xml:space="preserve">(1) </t>
    </r>
    <r>
      <rPr>
        <b/>
        <sz val="11"/>
        <color theme="1"/>
        <rFont val="Calibri"/>
        <family val="2"/>
        <scheme val="minor"/>
      </rPr>
      <t>Set Partially Meets at -5% of Minority or $72% of "Meets"... applied to Women/Veteran/Rural %'s</t>
    </r>
  </si>
  <si>
    <t>- for Establishments with 99 or less employees (Small Businesses)</t>
  </si>
  <si>
    <t>Data Entry:</t>
  </si>
  <si>
    <t xml:space="preserve">as of: </t>
  </si>
  <si>
    <t>Number of Loans as percent of total.</t>
  </si>
  <si>
    <t>% of SBA 7a Loans to Minority Owned Businesses</t>
  </si>
  <si>
    <t>% of Minority Owned Businesses in Colorado</t>
  </si>
  <si>
    <t>% of bank and credit unions loans</t>
  </si>
  <si>
    <t xml:space="preserve">Colorado </t>
  </si>
  <si>
    <t>Source?</t>
  </si>
  <si>
    <t>SBA Colorado Loan Approvals</t>
  </si>
  <si>
    <t>3yr Avg ('17' 18' 19)</t>
  </si>
  <si>
    <t>CDO Minority and Women Loans FY17-19_SBA Sourced</t>
  </si>
  <si>
    <t>% of SBA 7a Loans to Women Owned Businesses</t>
  </si>
  <si>
    <t>% of Women Owned Businesses in Colorado</t>
  </si>
  <si>
    <t>Tracking CLIMBER Participation w/ Benchmarks</t>
  </si>
  <si>
    <t>Actual % of CLIMBER Loans to Minority Owned Businesses</t>
  </si>
  <si>
    <t>Minority Owned Businesses</t>
  </si>
  <si>
    <t>Actual % of CLIMBER Loans to Women Owned Businesses</t>
  </si>
  <si>
    <t>Women Owned Businesses</t>
  </si>
  <si>
    <t>Veteran Owned Businesses</t>
  </si>
  <si>
    <t>Actual % of CLIMBER Loans to Veteran Owned Businesses</t>
  </si>
  <si>
    <t>% of Veteran Owned Businesses in Colorado</t>
  </si>
  <si>
    <t>Rural Owned Businesses</t>
  </si>
  <si>
    <t>Actual % of CLIMBER Loans to Rural Owned Businesses</t>
  </si>
  <si>
    <t>% of Rural Owned Businesses in Colorado</t>
  </si>
  <si>
    <t>Metro Low Income Tract?</t>
  </si>
  <si>
    <t>"x" amount for Metro Low Income Tract</t>
  </si>
  <si>
    <t>County has a Metro Low Income Tract</t>
  </si>
  <si>
    <t>CO Census Tracts</t>
  </si>
  <si>
    <t>CO Metro LI Tracts</t>
  </si>
  <si>
    <t>% tranche $ for Metro LI Tracts</t>
  </si>
  <si>
    <t>of CO tracts</t>
  </si>
  <si>
    <t>Metro Low Income Tracts</t>
  </si>
  <si>
    <t>Bank+Union as Funding sources used in last 5 years</t>
  </si>
  <si>
    <t>CO minority % of bank &amp; credit unions funding</t>
  </si>
  <si>
    <t>% of CO all funding sources that are banks or credit unions</t>
  </si>
  <si>
    <t>Percent in population*</t>
  </si>
  <si>
    <t>"% of financing from Banks and Credit Unions" is the multiplication of Percent in Population times the "Percent in population".</t>
  </si>
  <si>
    <t>Percent receiving loan from Banks/CU**</t>
  </si>
  <si>
    <t>* Percent in population is from the Census Annual Community Survey, 2018, 5-Yr Estimates as summarized in "Mapping Minority Businesses in Colorado", Page 6 -  % of all states classifiable businesses</t>
  </si>
  <si>
    <t>% of financing from Banks and Credit Unions***</t>
  </si>
  <si>
    <t>Bank's and Credit Union's market share in CO****</t>
  </si>
  <si>
    <t>**** Bank's and Credit Union's market share in CO. If 49% of the total population in CO receives their financing from Banks and Credit Unions (6% Minority and 43% Non-Minority) then that translates to 13% of Minority businesses receive their financing from Banks and Credit Unions and the Non-Minority businesses receiving the remaining Bank and Credit union financing in Colorado.</t>
  </si>
  <si>
    <t>*** % of financing from Banks and Credit Unions. Amount from multiplying "Percent in population" by "Percent receiving loans from Banks/CU". Therefore, 49% of all businesses use Banks or Credit Unions as funding sources in the last 5 years.</t>
  </si>
  <si>
    <t>** "Percent receiving loan from Banks/CU**" is from the lender data supplied by Federal Reserve 2020 Report on Employer Firms Small Business Credit Survey, p. 9, chart titled "Funding Sources Used in the Last Five Years by Demographic Characteristics". The "Minority businesses" figure is the combination of Hispanic ownership Bank 32% and Credit Union 4% (total 36%) averaged with Non-Hispanic Black ownership 23% and Credit Union 8% (total 31%), then rounded up as the Hispanic population is larger in CO than the Black population. Non-Minority businesses is the combination of "Non-Hispanic white ownership" from the chart for Bank 46% and Credit Union 6% (total 52%).</t>
  </si>
  <si>
    <t>Final Allocation - Geographic, D/U-S,Metro LI, or Minimum</t>
  </si>
  <si>
    <t>COUNTY ALLOCATION: For Establishments with 0 to 99 Employees</t>
  </si>
  <si>
    <t>Metro Low Income Tract</t>
  </si>
  <si>
    <t>Total Tranche</t>
  </si>
  <si>
    <t>+ Per Tract</t>
  </si>
  <si>
    <t>+ Per County</t>
  </si>
  <si>
    <t>County Allocation*</t>
  </si>
  <si>
    <t>* Based on number of establishments with 0-99 Employees in each county</t>
  </si>
  <si>
    <t>Use Goal seek to set to S4 amount to $xM Tranche size by changing J4 "Allocate %"</t>
  </si>
  <si>
    <t>Set aside</t>
  </si>
  <si>
    <t>Allocated Tranche</t>
  </si>
  <si>
    <t>Additional amount needed to reach Minimum/county</t>
  </si>
  <si>
    <t>&lt;==Minority Pop. w/ LI Tracts</t>
  </si>
  <si>
    <t>distributed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</si>
</sst>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164" formatCode="_(&quot;$&quot;* #,##0_);_(&quot;$&quot;* \(#,##0\);_(&quot;$&quot;* &quot;-&quot;??_);_(@_)"/>
    <numFmt numFmtId="168" formatCode="0.0%"/>
    <numFmt numFmtId="169" formatCode="&quot;$&quot;#,##0"/>
    <numFmt numFmtId="170" formatCode="&quot;$&quot;#,##0.00"/>
  </numFmts>
  <fonts count="38" x14ac:knownFonts="1">
    <font>
      <sz val="11"/>
      <color theme="1"/>
      <name val="Calibri"/>
      <family val="2"/>
      <scheme val="minor"/>
    </font>
    <font>
      <b/>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u/>
      <sz val="7"/>
      <name val="Arial"/>
      <family val="2"/>
    </font>
    <font>
      <u/>
      <sz val="11"/>
      <color theme="10"/>
      <name val="Calibri"/>
      <family val="2"/>
      <scheme val="minor"/>
    </font>
    <font>
      <sz val="10"/>
      <name val="Arial"/>
      <family val="2"/>
    </font>
    <font>
      <u/>
      <sz val="10"/>
      <color theme="10"/>
      <name val="Arial"/>
      <family val="2"/>
    </font>
    <font>
      <b/>
      <sz val="11"/>
      <color rgb="FF0070C0"/>
      <name val="Calibri"/>
      <family val="2"/>
      <scheme val="minor"/>
    </font>
    <font>
      <sz val="18"/>
      <name val="Arial"/>
      <family val="2"/>
    </font>
    <font>
      <b/>
      <sz val="14"/>
      <color rgb="FFFFFFFF"/>
      <name val="Calibri"/>
      <family val="2"/>
    </font>
    <font>
      <sz val="14"/>
      <color rgb="FF000000"/>
      <name val="Calibri"/>
      <family val="2"/>
    </font>
    <font>
      <b/>
      <sz val="11"/>
      <color theme="0" tint="-0.499984740745262"/>
      <name val="Calibri"/>
      <family val="2"/>
      <scheme val="minor"/>
    </font>
    <font>
      <sz val="11"/>
      <name val="Calibri"/>
      <family val="2"/>
      <scheme val="minor"/>
    </font>
    <font>
      <b/>
      <sz val="14"/>
      <color theme="4"/>
      <name val="Calibri"/>
      <family val="2"/>
    </font>
    <font>
      <sz val="8"/>
      <color theme="1"/>
      <name val="Calibri"/>
      <family val="2"/>
      <scheme val="minor"/>
    </font>
    <font>
      <sz val="10"/>
      <color rgb="FF000000"/>
      <name val="Arial"/>
      <family val="2"/>
    </font>
    <font>
      <vertAlign val="superscript"/>
      <sz val="11"/>
      <color theme="1"/>
      <name val="Calibri"/>
      <family val="2"/>
      <scheme val="minor"/>
    </font>
    <font>
      <b/>
      <vertAlign val="superscript"/>
      <sz val="11"/>
      <color theme="1"/>
      <name val="Calibri"/>
      <family val="2"/>
      <scheme val="minor"/>
    </font>
    <font>
      <b/>
      <u/>
      <sz val="24"/>
      <color theme="1"/>
      <name val="Calibri"/>
      <family val="2"/>
      <scheme val="minor"/>
    </font>
    <font>
      <b/>
      <sz val="11"/>
      <color rgb="FF00B0F0"/>
      <name val="Calibri"/>
      <family val="2"/>
      <scheme val="minor"/>
    </font>
    <font>
      <b/>
      <sz val="11"/>
      <name val="Calibri"/>
      <family val="2"/>
      <scheme val="minor"/>
    </font>
    <font>
      <b/>
      <sz val="11"/>
      <color rgb="FF00B050"/>
      <name val="Calibri"/>
      <family val="2"/>
      <scheme val="minor"/>
    </font>
  </fonts>
  <fills count="4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rgb="FF4472C4"/>
        <bgColor indexed="64"/>
      </patternFill>
    </fill>
    <fill>
      <patternFill patternType="solid">
        <fgColor rgb="FFCFD5EA"/>
        <bgColor indexed="64"/>
      </patternFill>
    </fill>
    <fill>
      <patternFill patternType="solid">
        <fgColor rgb="FFE9EBF5"/>
        <bgColor indexed="64"/>
      </patternFill>
    </fill>
    <fill>
      <patternFill patternType="solid">
        <fgColor rgb="FFFFFF00"/>
        <bgColor indexed="64"/>
      </patternFill>
    </fill>
    <fill>
      <patternFill patternType="solid">
        <fgColor theme="6" tint="0.59999389629810485"/>
        <bgColor theme="4" tint="0.79998168889431442"/>
      </patternFill>
    </fill>
    <fill>
      <patternFill patternType="solid">
        <fgColor rgb="FF92D050"/>
        <bgColor indexed="64"/>
      </patternFill>
    </fill>
    <fill>
      <patternFill patternType="solid">
        <fgColor rgb="FFAF9500"/>
        <bgColor indexed="64"/>
      </patternFill>
    </fill>
    <fill>
      <patternFill patternType="solid">
        <fgColor rgb="FFD7D7D7"/>
        <bgColor indexed="64"/>
      </patternFill>
    </fill>
    <fill>
      <patternFill patternType="solid">
        <fgColor rgb="FFAD8A56"/>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rgb="FF92D050"/>
        <bgColor theme="4" tint="0.79998168889431442"/>
      </patternFill>
    </fill>
  </fills>
  <borders count="5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theme="4" tint="0.39997558519241921"/>
      </bottom>
      <diagonal/>
    </border>
    <border>
      <left/>
      <right/>
      <top style="thin">
        <color theme="4" tint="0.39997558519241921"/>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4" tint="0.39997558519241921"/>
      </bottom>
      <diagonal/>
    </border>
    <border>
      <left/>
      <right style="thin">
        <color indexed="64"/>
      </right>
      <top style="thin">
        <color indexed="64"/>
      </top>
      <bottom style="thin">
        <color theme="4" tint="0.39997558519241921"/>
      </bottom>
      <diagonal/>
    </border>
    <border>
      <left style="thin">
        <color indexed="64"/>
      </left>
      <right/>
      <top style="thin">
        <color theme="4" tint="0.39997558519241921"/>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theme="4" tint="0.3999755851924192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0" fillId="0" borderId="0" applyNumberFormat="0" applyFill="0" applyBorder="0" applyAlignment="0" applyProtection="0"/>
    <xf numFmtId="0" fontId="21" fillId="0" borderId="0"/>
    <xf numFmtId="0" fontId="22" fillId="0" borderId="0" applyNumberFormat="0" applyFill="0" applyBorder="0" applyAlignment="0" applyProtection="0"/>
  </cellStyleXfs>
  <cellXfs count="147">
    <xf numFmtId="0" fontId="0" fillId="0" borderId="0" xfId="0"/>
    <xf numFmtId="0" fontId="1" fillId="0" borderId="0" xfId="0" applyFont="1" applyAlignment="1">
      <alignment horizontal="left"/>
    </xf>
    <xf numFmtId="0" fontId="17" fillId="0" borderId="0" xfId="0" applyFont="1"/>
    <xf numFmtId="0" fontId="0" fillId="0" borderId="0" xfId="0" applyAlignment="1">
      <alignment horizontal="left"/>
    </xf>
    <xf numFmtId="0" fontId="17" fillId="33" borderId="11" xfId="0" applyFont="1" applyFill="1" applyBorder="1" applyAlignment="1">
      <alignment horizontal="left"/>
    </xf>
    <xf numFmtId="10" fontId="0" fillId="0" borderId="0" xfId="0" applyNumberFormat="1"/>
    <xf numFmtId="0" fontId="17" fillId="33" borderId="10" xfId="0" applyFont="1" applyFill="1" applyBorder="1" applyAlignment="1">
      <alignment horizontal="center" vertical="center" wrapText="1"/>
    </xf>
    <xf numFmtId="0" fontId="20" fillId="0" borderId="0" xfId="44"/>
    <xf numFmtId="0" fontId="0" fillId="0" borderId="15" xfId="0" applyBorder="1"/>
    <xf numFmtId="3" fontId="0" fillId="0" borderId="0" xfId="0" applyNumberFormat="1" applyAlignment="1">
      <alignment horizontal="center"/>
    </xf>
    <xf numFmtId="10" fontId="0" fillId="0" borderId="0" xfId="43" applyNumberFormat="1" applyFont="1" applyAlignment="1">
      <alignment horizontal="center"/>
    </xf>
    <xf numFmtId="10" fontId="0" fillId="0" borderId="0" xfId="0" applyNumberFormat="1" applyAlignment="1">
      <alignment horizontal="center"/>
    </xf>
    <xf numFmtId="10" fontId="17" fillId="33" borderId="11" xfId="0" applyNumberFormat="1" applyFont="1" applyFill="1" applyBorder="1" applyAlignment="1">
      <alignment horizontal="center"/>
    </xf>
    <xf numFmtId="164" fontId="23" fillId="0" borderId="14" xfId="42" applyNumberFormat="1" applyFont="1" applyBorder="1"/>
    <xf numFmtId="3" fontId="17" fillId="33" borderId="11" xfId="0" applyNumberFormat="1" applyFont="1" applyFill="1" applyBorder="1" applyAlignment="1">
      <alignment horizontal="center"/>
    </xf>
    <xf numFmtId="0" fontId="0" fillId="0" borderId="0" xfId="0" applyAlignment="1">
      <alignment horizontal="center"/>
    </xf>
    <xf numFmtId="0" fontId="17" fillId="33" borderId="16" xfId="0" applyFont="1" applyFill="1" applyBorder="1" applyAlignment="1">
      <alignment horizontal="center" vertical="center" wrapText="1"/>
    </xf>
    <xf numFmtId="0" fontId="17" fillId="34" borderId="17" xfId="0" applyFont="1" applyFill="1" applyBorder="1" applyAlignment="1">
      <alignment horizontal="center" vertical="center" wrapText="1"/>
    </xf>
    <xf numFmtId="10" fontId="0" fillId="0" borderId="13" xfId="0" applyNumberFormat="1" applyBorder="1" applyAlignment="1">
      <alignment horizontal="center"/>
    </xf>
    <xf numFmtId="164" fontId="0" fillId="0" borderId="12" xfId="42" applyNumberFormat="1" applyFont="1" applyBorder="1" applyAlignment="1">
      <alignment horizontal="center"/>
    </xf>
    <xf numFmtId="10" fontId="17" fillId="33" borderId="18" xfId="0" applyNumberFormat="1" applyFont="1" applyFill="1" applyBorder="1" applyAlignment="1">
      <alignment horizontal="center"/>
    </xf>
    <xf numFmtId="164" fontId="0" fillId="0" borderId="0" xfId="0" applyNumberFormat="1"/>
    <xf numFmtId="9" fontId="23" fillId="0" borderId="14" xfId="43" applyFont="1" applyBorder="1" applyAlignment="1">
      <alignment horizontal="center"/>
    </xf>
    <xf numFmtId="164" fontId="0" fillId="0" borderId="19" xfId="0" applyNumberFormat="1" applyBorder="1"/>
    <xf numFmtId="0" fontId="0" fillId="0" borderId="20" xfId="0" applyBorder="1" applyAlignment="1">
      <alignment horizontal="left"/>
    </xf>
    <xf numFmtId="164" fontId="0" fillId="0" borderId="21" xfId="0" applyNumberFormat="1" applyBorder="1"/>
    <xf numFmtId="164" fontId="23" fillId="0" borderId="22" xfId="42" applyNumberFormat="1" applyFont="1" applyBorder="1" applyAlignment="1">
      <alignment horizontal="center"/>
    </xf>
    <xf numFmtId="0" fontId="0" fillId="0" borderId="0" xfId="0" applyAlignment="1">
      <alignment horizontal="center" wrapText="1"/>
    </xf>
    <xf numFmtId="9" fontId="0" fillId="0" borderId="0" xfId="43" applyFont="1"/>
    <xf numFmtId="0" fontId="24" fillId="0" borderId="23" xfId="0" applyFont="1" applyBorder="1" applyAlignment="1">
      <alignment horizontal="left" vertical="center"/>
    </xf>
    <xf numFmtId="0" fontId="25" fillId="35" borderId="23" xfId="0" applyFont="1" applyFill="1" applyBorder="1" applyAlignment="1">
      <alignment horizontal="center" vertical="center" wrapText="1"/>
    </xf>
    <xf numFmtId="0" fontId="26" fillId="37" borderId="25" xfId="0" applyFont="1" applyFill="1" applyBorder="1" applyAlignment="1">
      <alignment horizontal="center" vertical="center" wrapText="1"/>
    </xf>
    <xf numFmtId="0" fontId="26" fillId="36" borderId="24" xfId="0" applyFont="1" applyFill="1" applyBorder="1" applyAlignment="1">
      <alignment horizontal="center" vertical="center" wrapText="1"/>
    </xf>
    <xf numFmtId="0" fontId="0" fillId="38" borderId="0" xfId="0" applyFill="1"/>
    <xf numFmtId="0" fontId="0" fillId="0" borderId="0" xfId="0" applyAlignment="1">
      <alignment vertical="center"/>
    </xf>
    <xf numFmtId="164" fontId="23" fillId="0" borderId="14" xfId="42" applyNumberFormat="1" applyFont="1" applyBorder="1" applyAlignment="1">
      <alignment vertical="center"/>
    </xf>
    <xf numFmtId="0" fontId="0" fillId="0" borderId="15" xfId="0" applyBorder="1" applyAlignment="1">
      <alignment vertical="center"/>
    </xf>
    <xf numFmtId="0" fontId="0" fillId="0" borderId="0" xfId="0" applyAlignment="1">
      <alignment horizontal="center" vertical="center"/>
    </xf>
    <xf numFmtId="168" fontId="23" fillId="0" borderId="14" xfId="43" applyNumberFormat="1" applyFont="1" applyBorder="1" applyAlignment="1">
      <alignment horizontal="center" vertical="center"/>
    </xf>
    <xf numFmtId="0" fontId="17" fillId="39" borderId="26" xfId="0" applyFont="1" applyFill="1" applyBorder="1" applyAlignment="1">
      <alignment horizontal="center" vertical="center" wrapText="1"/>
    </xf>
    <xf numFmtId="0" fontId="27" fillId="39" borderId="10" xfId="0" applyFont="1" applyFill="1" applyBorder="1" applyAlignment="1">
      <alignment horizontal="center" vertical="center" wrapText="1"/>
    </xf>
    <xf numFmtId="0" fontId="0" fillId="0" borderId="0" xfId="0" applyAlignment="1">
      <alignment horizontal="right"/>
    </xf>
    <xf numFmtId="0" fontId="0" fillId="0" borderId="28" xfId="0" applyBorder="1" applyAlignment="1">
      <alignment horizontal="center" vertical="center" wrapText="1"/>
    </xf>
    <xf numFmtId="164" fontId="23" fillId="0" borderId="0" xfId="42" applyNumberFormat="1" applyFont="1" applyBorder="1" applyAlignment="1">
      <alignment vertical="center"/>
    </xf>
    <xf numFmtId="0" fontId="0" fillId="0" borderId="22" xfId="0" applyBorder="1" applyAlignment="1">
      <alignment horizontal="center" vertical="center" wrapText="1"/>
    </xf>
    <xf numFmtId="3" fontId="23" fillId="0" borderId="30" xfId="42" applyNumberFormat="1" applyFont="1" applyBorder="1" applyAlignment="1">
      <alignment horizontal="center" vertical="center"/>
    </xf>
    <xf numFmtId="5" fontId="23" fillId="0" borderId="29" xfId="42" applyNumberFormat="1" applyFont="1" applyBorder="1" applyAlignment="1">
      <alignment horizontal="center" vertical="center"/>
    </xf>
    <xf numFmtId="10" fontId="0" fillId="0" borderId="0" xfId="43" applyNumberFormat="1" applyFont="1" applyAlignment="1">
      <alignment horizontal="left"/>
    </xf>
    <xf numFmtId="9" fontId="0" fillId="0" borderId="0" xfId="43" applyFont="1" applyAlignment="1">
      <alignment horizontal="center"/>
    </xf>
    <xf numFmtId="9" fontId="0" fillId="0" borderId="27" xfId="43" applyFont="1" applyBorder="1" applyAlignment="1">
      <alignment horizontal="center"/>
    </xf>
    <xf numFmtId="9" fontId="26" fillId="37" borderId="25" xfId="43" applyFont="1" applyFill="1" applyBorder="1" applyAlignment="1">
      <alignment horizontal="center" vertical="center" wrapText="1"/>
    </xf>
    <xf numFmtId="9" fontId="26" fillId="36" borderId="24" xfId="43" applyFont="1" applyFill="1" applyBorder="1" applyAlignment="1">
      <alignment horizontal="center" vertical="center" wrapText="1"/>
    </xf>
    <xf numFmtId="9" fontId="0" fillId="0" borderId="19" xfId="43" applyFont="1" applyBorder="1" applyAlignment="1">
      <alignment horizontal="center"/>
    </xf>
    <xf numFmtId="14" fontId="26" fillId="37" borderId="25" xfId="0" applyNumberFormat="1" applyFont="1" applyFill="1" applyBorder="1" applyAlignment="1">
      <alignment horizontal="center" vertical="center" wrapText="1"/>
    </xf>
    <xf numFmtId="14" fontId="26" fillId="36" borderId="24" xfId="0" applyNumberFormat="1" applyFont="1" applyFill="1" applyBorder="1" applyAlignment="1">
      <alignment horizontal="center" vertical="center" wrapText="1"/>
    </xf>
    <xf numFmtId="14" fontId="29" fillId="37" borderId="25" xfId="0" applyNumberFormat="1" applyFont="1" applyFill="1" applyBorder="1" applyAlignment="1">
      <alignment horizontal="center" vertical="center" wrapText="1"/>
    </xf>
    <xf numFmtId="0" fontId="0" fillId="38" borderId="0" xfId="0" applyFill="1" applyAlignment="1">
      <alignment horizontal="center" vertical="center"/>
    </xf>
    <xf numFmtId="0" fontId="30" fillId="0" borderId="0" xfId="0" applyFont="1"/>
    <xf numFmtId="9" fontId="0" fillId="0" borderId="0" xfId="0" applyNumberFormat="1"/>
    <xf numFmtId="168" fontId="26" fillId="37" borderId="25" xfId="43" applyNumberFormat="1" applyFont="1" applyFill="1" applyBorder="1" applyAlignment="1">
      <alignment horizontal="center" vertical="center" wrapText="1"/>
    </xf>
    <xf numFmtId="168" fontId="26" fillId="36" borderId="24" xfId="43" applyNumberFormat="1" applyFont="1" applyFill="1" applyBorder="1" applyAlignment="1">
      <alignment horizontal="center" vertical="center" wrapText="1"/>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32" xfId="0" applyFont="1" applyBorder="1" applyAlignment="1">
      <alignment horizontal="center" vertical="center" wrapText="1"/>
    </xf>
    <xf numFmtId="0" fontId="17" fillId="0" borderId="33" xfId="0" applyFont="1" applyBorder="1" applyAlignment="1">
      <alignment horizontal="center" vertical="center"/>
    </xf>
    <xf numFmtId="0" fontId="0" fillId="41" borderId="35" xfId="0" applyFill="1" applyBorder="1" applyAlignment="1">
      <alignment horizontal="center" vertical="center" wrapText="1"/>
    </xf>
    <xf numFmtId="0" fontId="31" fillId="0" borderId="0" xfId="0" applyFont="1" applyAlignment="1">
      <alignment horizontal="left" vertical="center" wrapText="1" indent="1"/>
    </xf>
    <xf numFmtId="0" fontId="0" fillId="42" borderId="19" xfId="0" applyFill="1" applyBorder="1" applyAlignment="1">
      <alignment horizontal="center" vertical="center" wrapText="1"/>
    </xf>
    <xf numFmtId="0" fontId="0" fillId="43" borderId="19" xfId="0" applyFill="1" applyBorder="1" applyAlignment="1">
      <alignment horizontal="center" vertical="center" wrapText="1"/>
    </xf>
    <xf numFmtId="0" fontId="3" fillId="44" borderId="40" xfId="0" applyFont="1" applyFill="1" applyBorder="1" applyAlignment="1">
      <alignment horizontal="center" vertical="center" wrapText="1"/>
    </xf>
    <xf numFmtId="0" fontId="17" fillId="0" borderId="0" xfId="0" applyFont="1" applyAlignment="1">
      <alignment vertical="center"/>
    </xf>
    <xf numFmtId="169" fontId="0" fillId="0" borderId="0" xfId="0" applyNumberFormat="1" applyAlignment="1">
      <alignment horizontal="center" wrapText="1"/>
    </xf>
    <xf numFmtId="0" fontId="17" fillId="41" borderId="34" xfId="0" applyFont="1" applyFill="1" applyBorder="1" applyAlignment="1">
      <alignment horizontal="center" vertical="center"/>
    </xf>
    <xf numFmtId="0" fontId="17" fillId="42" borderId="37" xfId="0" applyFont="1" applyFill="1" applyBorder="1" applyAlignment="1">
      <alignment horizontal="center" vertical="center"/>
    </xf>
    <xf numFmtId="0" fontId="17" fillId="43" borderId="37" xfId="0" applyFont="1" applyFill="1" applyBorder="1" applyAlignment="1">
      <alignment horizontal="center" vertical="center"/>
    </xf>
    <xf numFmtId="0" fontId="6" fillId="44" borderId="39" xfId="0" applyFont="1" applyFill="1" applyBorder="1" applyAlignment="1">
      <alignment horizontal="center" vertical="center"/>
    </xf>
    <xf numFmtId="0" fontId="17" fillId="41" borderId="35" xfId="0" applyFont="1" applyFill="1" applyBorder="1" applyAlignment="1">
      <alignment horizontal="center" vertical="center"/>
    </xf>
    <xf numFmtId="0" fontId="17" fillId="41" borderId="36" xfId="0" applyFont="1" applyFill="1" applyBorder="1" applyAlignment="1">
      <alignment horizontal="center" vertical="center"/>
    </xf>
    <xf numFmtId="0" fontId="17" fillId="42" borderId="19" xfId="0" applyFont="1" applyFill="1" applyBorder="1" applyAlignment="1">
      <alignment horizontal="center" vertical="center"/>
    </xf>
    <xf numFmtId="9" fontId="17" fillId="42" borderId="19" xfId="0" applyNumberFormat="1" applyFont="1" applyFill="1" applyBorder="1" applyAlignment="1">
      <alignment horizontal="center" vertical="center"/>
    </xf>
    <xf numFmtId="0" fontId="17" fillId="42" borderId="38" xfId="0" applyFont="1" applyFill="1" applyBorder="1" applyAlignment="1">
      <alignment horizontal="center" vertical="center"/>
    </xf>
    <xf numFmtId="0" fontId="17" fillId="43" borderId="19" xfId="0" applyFont="1" applyFill="1" applyBorder="1" applyAlignment="1">
      <alignment horizontal="center" vertical="center"/>
    </xf>
    <xf numFmtId="0" fontId="17" fillId="43" borderId="38" xfId="0" applyFont="1" applyFill="1" applyBorder="1" applyAlignment="1">
      <alignment horizontal="center" vertical="center"/>
    </xf>
    <xf numFmtId="0" fontId="6" fillId="44" borderId="40" xfId="0" applyFont="1" applyFill="1" applyBorder="1" applyAlignment="1">
      <alignment horizontal="center" vertical="center"/>
    </xf>
    <xf numFmtId="0" fontId="6" fillId="44" borderId="41" xfId="0" applyFont="1" applyFill="1" applyBorder="1" applyAlignment="1">
      <alignment horizontal="center" vertical="center"/>
    </xf>
    <xf numFmtId="9" fontId="0" fillId="38" borderId="0" xfId="43" applyFont="1" applyFill="1" applyAlignment="1">
      <alignment horizontal="center"/>
    </xf>
    <xf numFmtId="0" fontId="17" fillId="38" borderId="0" xfId="0" applyFont="1" applyFill="1"/>
    <xf numFmtId="0" fontId="17" fillId="0" borderId="31" xfId="0" applyFont="1" applyBorder="1" applyAlignment="1">
      <alignment horizontal="center" vertical="center" wrapText="1"/>
    </xf>
    <xf numFmtId="0" fontId="17" fillId="41" borderId="26" xfId="0" applyFont="1" applyFill="1" applyBorder="1" applyAlignment="1">
      <alignment horizontal="center" vertical="center"/>
    </xf>
    <xf numFmtId="0" fontId="17" fillId="42" borderId="26" xfId="0" applyFont="1" applyFill="1" applyBorder="1" applyAlignment="1">
      <alignment horizontal="center" vertical="center"/>
    </xf>
    <xf numFmtId="0" fontId="17" fillId="43" borderId="26" xfId="0" applyFont="1" applyFill="1" applyBorder="1" applyAlignment="1">
      <alignment horizontal="center" vertical="center"/>
    </xf>
    <xf numFmtId="0" fontId="3" fillId="44" borderId="26" xfId="0" applyFont="1" applyFill="1" applyBorder="1" applyAlignment="1">
      <alignment horizontal="center" vertical="center"/>
    </xf>
    <xf numFmtId="0" fontId="17" fillId="0" borderId="42" xfId="0" applyFont="1" applyBorder="1" applyAlignment="1">
      <alignment horizontal="center" vertical="center"/>
    </xf>
    <xf numFmtId="0" fontId="0" fillId="41" borderId="43" xfId="0" applyFill="1" applyBorder="1" applyAlignment="1">
      <alignment horizontal="center" vertical="center" wrapText="1"/>
    </xf>
    <xf numFmtId="0" fontId="28" fillId="42" borderId="14" xfId="0" applyFont="1" applyFill="1" applyBorder="1" applyAlignment="1">
      <alignment horizontal="center" vertical="center" wrapText="1"/>
    </xf>
    <xf numFmtId="0" fontId="0" fillId="43" borderId="14" xfId="0" applyFill="1" applyBorder="1" applyAlignment="1">
      <alignment horizontal="center" vertical="center" wrapText="1"/>
    </xf>
    <xf numFmtId="0" fontId="3" fillId="44" borderId="44" xfId="0" applyFont="1" applyFill="1" applyBorder="1" applyAlignment="1">
      <alignment horizontal="center" vertical="center"/>
    </xf>
    <xf numFmtId="0" fontId="0" fillId="0" borderId="45" xfId="0" applyBorder="1" applyAlignment="1">
      <alignment vertical="center"/>
    </xf>
    <xf numFmtId="0" fontId="0" fillId="0" borderId="46" xfId="0" applyBorder="1" applyAlignment="1">
      <alignment vertical="center"/>
    </xf>
    <xf numFmtId="0" fontId="17" fillId="0" borderId="0" xfId="0" applyFont="1" applyAlignment="1">
      <alignment horizontal="center" vertical="center" wrapText="1"/>
    </xf>
    <xf numFmtId="0" fontId="17" fillId="0" borderId="26" xfId="0" applyFont="1" applyBorder="1" applyAlignment="1">
      <alignment horizontal="center" vertical="center" wrapText="1"/>
    </xf>
    <xf numFmtId="9" fontId="0" fillId="38" borderId="0" xfId="43" applyFont="1" applyFill="1"/>
    <xf numFmtId="0" fontId="17" fillId="0" borderId="0" xfId="0" quotePrefix="1" applyFont="1"/>
    <xf numFmtId="0" fontId="34" fillId="0" borderId="0" xfId="0" applyFont="1"/>
    <xf numFmtId="0" fontId="35" fillId="0" borderId="0" xfId="0" applyFont="1"/>
    <xf numFmtId="9" fontId="36" fillId="0" borderId="0" xfId="43" applyFont="1"/>
    <xf numFmtId="14" fontId="35" fillId="0" borderId="0" xfId="0" applyNumberFormat="1" applyFont="1"/>
    <xf numFmtId="168" fontId="26" fillId="45" borderId="25" xfId="43" applyNumberFormat="1" applyFont="1" applyFill="1" applyBorder="1" applyAlignment="1">
      <alignment horizontal="center" vertical="center" wrapText="1"/>
    </xf>
    <xf numFmtId="9" fontId="37" fillId="0" borderId="0" xfId="43" applyFont="1"/>
    <xf numFmtId="9" fontId="0" fillId="0" borderId="0" xfId="43" applyFont="1" applyBorder="1" applyAlignment="1">
      <alignment horizontal="center"/>
    </xf>
    <xf numFmtId="10" fontId="0" fillId="0" borderId="0" xfId="43" applyNumberFormat="1" applyFont="1" applyBorder="1" applyAlignment="1">
      <alignment horizontal="center"/>
    </xf>
    <xf numFmtId="10" fontId="0" fillId="46" borderId="0" xfId="43" applyNumberFormat="1" applyFont="1" applyFill="1" applyAlignment="1">
      <alignment horizontal="center"/>
    </xf>
    <xf numFmtId="0" fontId="0" fillId="46" borderId="0" xfId="0" applyFill="1" applyAlignment="1">
      <alignment horizontal="center"/>
    </xf>
    <xf numFmtId="9" fontId="0" fillId="0" borderId="0" xfId="43" applyFont="1" applyAlignment="1">
      <alignment vertical="center"/>
    </xf>
    <xf numFmtId="0" fontId="0" fillId="0" borderId="0" xfId="0" applyAlignment="1">
      <alignment horizontal="left" vertical="center"/>
    </xf>
    <xf numFmtId="0" fontId="0" fillId="0" borderId="14" xfId="0" applyBorder="1"/>
    <xf numFmtId="9" fontId="0" fillId="0" borderId="15" xfId="0" applyNumberFormat="1" applyBorder="1"/>
    <xf numFmtId="0" fontId="0" fillId="0" borderId="14" xfId="0" applyBorder="1" applyAlignment="1">
      <alignment horizontal="center" wrapText="1"/>
    </xf>
    <xf numFmtId="0" fontId="0" fillId="0" borderId="15" xfId="0" applyBorder="1" applyAlignment="1">
      <alignment horizontal="center" wrapText="1"/>
    </xf>
    <xf numFmtId="0" fontId="0" fillId="0" borderId="19" xfId="0" applyBorder="1"/>
    <xf numFmtId="10" fontId="0" fillId="0" borderId="19" xfId="0" applyNumberFormat="1" applyBorder="1"/>
    <xf numFmtId="169" fontId="0" fillId="0" borderId="19" xfId="0" applyNumberFormat="1" applyBorder="1" applyAlignment="1">
      <alignment horizontal="center" wrapText="1"/>
    </xf>
    <xf numFmtId="0" fontId="0" fillId="0" borderId="19" xfId="0" applyBorder="1" applyAlignment="1">
      <alignment horizontal="center" wrapText="1"/>
    </xf>
    <xf numFmtId="9" fontId="0" fillId="38" borderId="19" xfId="43" applyFont="1" applyFill="1" applyBorder="1" applyAlignment="1">
      <alignment horizontal="center"/>
    </xf>
    <xf numFmtId="0" fontId="0" fillId="0" borderId="27" xfId="0" applyBorder="1" applyAlignment="1">
      <alignment vertical="top"/>
    </xf>
    <xf numFmtId="0" fontId="0" fillId="0" borderId="0" xfId="0" applyAlignment="1">
      <alignment vertical="top"/>
    </xf>
    <xf numFmtId="0" fontId="0" fillId="0" borderId="0" xfId="0" quotePrefix="1"/>
    <xf numFmtId="0" fontId="17" fillId="33" borderId="11" xfId="0" applyFont="1" applyFill="1" applyBorder="1" applyAlignment="1">
      <alignment horizontal="center"/>
    </xf>
    <xf numFmtId="164" fontId="0" fillId="0" borderId="14" xfId="0" applyNumberFormat="1" applyBorder="1"/>
    <xf numFmtId="9" fontId="0" fillId="0" borderId="15" xfId="43" applyFont="1" applyBorder="1" applyAlignment="1">
      <alignment horizontal="center"/>
    </xf>
    <xf numFmtId="0" fontId="17" fillId="47" borderId="47" xfId="0" applyFont="1" applyFill="1" applyBorder="1" applyAlignment="1">
      <alignment horizontal="center" vertical="center" wrapText="1"/>
    </xf>
    <xf numFmtId="164" fontId="0" fillId="40" borderId="48" xfId="0" applyNumberFormat="1" applyFill="1" applyBorder="1"/>
    <xf numFmtId="164" fontId="0" fillId="40" borderId="49" xfId="0" applyNumberFormat="1" applyFill="1" applyBorder="1"/>
    <xf numFmtId="164" fontId="28" fillId="38" borderId="14" xfId="42" applyNumberFormat="1" applyFont="1" applyFill="1" applyBorder="1"/>
    <xf numFmtId="3" fontId="0" fillId="38" borderId="21" xfId="0" applyNumberFormat="1" applyFill="1"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170" fontId="0" fillId="0" borderId="19" xfId="0" applyNumberFormat="1" applyBorder="1" applyAlignment="1">
      <alignment horizontal="center" vertical="center"/>
    </xf>
    <xf numFmtId="169" fontId="23" fillId="0" borderId="19" xfId="42" applyNumberFormat="1" applyFont="1" applyBorder="1" applyAlignment="1">
      <alignment horizontal="center" vertical="center"/>
    </xf>
    <xf numFmtId="0" fontId="0" fillId="0" borderId="19" xfId="0" quotePrefix="1" applyBorder="1" applyAlignment="1">
      <alignment horizontal="center" vertical="center" wrapText="1"/>
    </xf>
    <xf numFmtId="14" fontId="36" fillId="0" borderId="0" xfId="0" applyNumberFormat="1" applyFont="1"/>
    <xf numFmtId="0" fontId="36" fillId="0" borderId="0" xfId="0" applyFont="1"/>
    <xf numFmtId="164" fontId="36" fillId="0" borderId="14" xfId="42" applyNumberFormat="1" applyFont="1" applyBorder="1" applyAlignment="1">
      <alignment vertical="center"/>
    </xf>
    <xf numFmtId="0" fontId="0" fillId="0" borderId="15" xfId="0" applyBorder="1" applyAlignment="1">
      <alignment vertical="center" wrapText="1"/>
    </xf>
    <xf numFmtId="164" fontId="23" fillId="0" borderId="19" xfId="42" applyNumberFormat="1" applyFont="1" applyBorder="1" applyAlignment="1">
      <alignment vertical="center"/>
    </xf>
    <xf numFmtId="0" fontId="0" fillId="0" borderId="19" xfId="0" applyBorder="1" applyAlignment="1">
      <alignment horizontal="center"/>
    </xf>
    <xf numFmtId="0" fontId="17" fillId="38" borderId="0" xfId="0" applyFont="1" applyFill="1" applyAlignment="1">
      <alignment horizont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42"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4" builtinId="8"/>
    <cellStyle name="Hyperlink 2" xfId="46" xr:uid="{00000000-0005-0000-0000-000024000000}"/>
    <cellStyle name="Input" xfId="34" builtinId="20" customBuiltin="1"/>
    <cellStyle name="Linked Cell" xfId="35" builtinId="24" customBuiltin="1"/>
    <cellStyle name="Neutral" xfId="36" builtinId="28" customBuiltin="1"/>
    <cellStyle name="Normal" xfId="0" builtinId="0"/>
    <cellStyle name="Normal 2" xfId="45" xr:uid="{00000000-0005-0000-0000-000029000000}"/>
    <cellStyle name="Note" xfId="37" builtinId="10" customBuiltin="1"/>
    <cellStyle name="Output" xfId="38" builtinId="21" customBuiltin="1"/>
    <cellStyle name="Percent" xfId="43" builtinId="5"/>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Benchmarks!$O$6</c:f>
          <c:strCache>
            <c:ptCount val="1"/>
            <c:pt idx="0">
              <c:v>Minority Owned Businesses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Benchmarks!$O$8</c:f>
              <c:strCache>
                <c:ptCount val="1"/>
                <c:pt idx="0">
                  <c:v>Actual % of CLIMBER Loans to Minority Owned Businesses</c:v>
                </c:pt>
              </c:strCache>
            </c:strRef>
          </c:tx>
          <c:spPr>
            <a:solidFill>
              <a:schemeClr val="accent1"/>
            </a:solidFill>
            <a:ln>
              <a:noFill/>
            </a:ln>
            <a:effectLst/>
          </c:spPr>
          <c:invertIfNegative val="0"/>
          <c:dLbls>
            <c:spPr>
              <a:solidFill>
                <a:schemeClr val="bg1"/>
              </a:solidFill>
              <a:ln>
                <a:solidFill>
                  <a:sysClr val="windowText" lastClr="000000"/>
                </a:solidFill>
              </a:ln>
              <a:effectLst/>
              <a:scene3d>
                <a:camera prst="orthographicFront"/>
                <a:lightRig rig="threePt" dir="t"/>
              </a:scene3d>
              <a:sp3d/>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Benchmarks!$P$7:$S$7</c:f>
              <c:numCache>
                <c:formatCode>General</c:formatCode>
                <c:ptCount val="4"/>
                <c:pt idx="0">
                  <c:v>1</c:v>
                </c:pt>
                <c:pt idx="1">
                  <c:v>2</c:v>
                </c:pt>
                <c:pt idx="2">
                  <c:v>3</c:v>
                </c:pt>
                <c:pt idx="3">
                  <c:v>4</c:v>
                </c:pt>
              </c:numCache>
            </c:numRef>
          </c:cat>
          <c:val>
            <c:numRef>
              <c:f>Benchmarks!$P$8:$S$8</c:f>
              <c:numCache>
                <c:formatCode>0%</c:formatCode>
                <c:ptCount val="4"/>
                <c:pt idx="1">
                  <c:v>0.36734693877551022</c:v>
                </c:pt>
              </c:numCache>
            </c:numRef>
          </c:val>
          <c:extLst>
            <c:ext xmlns:c16="http://schemas.microsoft.com/office/drawing/2014/chart" uri="{C3380CC4-5D6E-409C-BE32-E72D297353CC}">
              <c16:uniqueId val="{00000000-627D-4AAB-AA74-8F2611DFB0D9}"/>
            </c:ext>
          </c:extLst>
        </c:ser>
        <c:dLbls>
          <c:showLegendKey val="0"/>
          <c:showVal val="0"/>
          <c:showCatName val="0"/>
          <c:showSerName val="0"/>
          <c:showPercent val="0"/>
          <c:showBubbleSize val="0"/>
        </c:dLbls>
        <c:gapWidth val="219"/>
        <c:axId val="393729999"/>
        <c:axId val="393733327"/>
      </c:barChart>
      <c:lineChart>
        <c:grouping val="standard"/>
        <c:varyColors val="0"/>
        <c:ser>
          <c:idx val="1"/>
          <c:order val="1"/>
          <c:tx>
            <c:strRef>
              <c:f>Benchmarks!$O$9</c:f>
              <c:strCache>
                <c:ptCount val="1"/>
                <c:pt idx="0">
                  <c:v>% of SBA 7a Loans to Minority Owned Businesses</c:v>
                </c:pt>
              </c:strCache>
            </c:strRef>
          </c:tx>
          <c:spPr>
            <a:ln w="28575" cap="rnd">
              <a:solidFill>
                <a:schemeClr val="accent2"/>
              </a:solidFill>
              <a:round/>
            </a:ln>
            <a:effectLst/>
          </c:spPr>
          <c:marker>
            <c:symbol val="none"/>
          </c:marker>
          <c:cat>
            <c:numRef>
              <c:f>Benchmarks!$P$7:$S$7</c:f>
              <c:numCache>
                <c:formatCode>General</c:formatCode>
                <c:ptCount val="4"/>
                <c:pt idx="0">
                  <c:v>1</c:v>
                </c:pt>
                <c:pt idx="1">
                  <c:v>2</c:v>
                </c:pt>
                <c:pt idx="2">
                  <c:v>3</c:v>
                </c:pt>
                <c:pt idx="3">
                  <c:v>4</c:v>
                </c:pt>
              </c:numCache>
            </c:numRef>
          </c:cat>
          <c:val>
            <c:numRef>
              <c:f>Benchmarks!$P$9:$S$9</c:f>
              <c:numCache>
                <c:formatCode>0%</c:formatCode>
                <c:ptCount val="4"/>
                <c:pt idx="0">
                  <c:v>0.21333333333333335</c:v>
                </c:pt>
                <c:pt idx="1">
                  <c:v>0.21333333333333335</c:v>
                </c:pt>
                <c:pt idx="2">
                  <c:v>0.21333333333333335</c:v>
                </c:pt>
              </c:numCache>
            </c:numRef>
          </c:val>
          <c:smooth val="0"/>
          <c:extLst>
            <c:ext xmlns:c16="http://schemas.microsoft.com/office/drawing/2014/chart" uri="{C3380CC4-5D6E-409C-BE32-E72D297353CC}">
              <c16:uniqueId val="{00000001-627D-4AAB-AA74-8F2611DFB0D9}"/>
            </c:ext>
          </c:extLst>
        </c:ser>
        <c:ser>
          <c:idx val="2"/>
          <c:order val="2"/>
          <c:tx>
            <c:strRef>
              <c:f>Benchmarks!$O$10</c:f>
              <c:strCache>
                <c:ptCount val="1"/>
                <c:pt idx="0">
                  <c:v>% of Minority Owned Businesses in Colorado</c:v>
                </c:pt>
              </c:strCache>
            </c:strRef>
          </c:tx>
          <c:spPr>
            <a:ln w="28575" cap="rnd">
              <a:solidFill>
                <a:schemeClr val="accent3"/>
              </a:solidFill>
              <a:round/>
            </a:ln>
            <a:effectLst/>
          </c:spPr>
          <c:marker>
            <c:symbol val="none"/>
          </c:marker>
          <c:cat>
            <c:numRef>
              <c:f>Benchmarks!$P$7:$S$7</c:f>
              <c:numCache>
                <c:formatCode>General</c:formatCode>
                <c:ptCount val="4"/>
                <c:pt idx="0">
                  <c:v>1</c:v>
                </c:pt>
                <c:pt idx="1">
                  <c:v>2</c:v>
                </c:pt>
                <c:pt idx="2">
                  <c:v>3</c:v>
                </c:pt>
                <c:pt idx="3">
                  <c:v>4</c:v>
                </c:pt>
              </c:numCache>
            </c:numRef>
          </c:cat>
          <c:val>
            <c:numRef>
              <c:f>Benchmarks!$P$10:$S$10</c:f>
              <c:numCache>
                <c:formatCode>0%</c:formatCode>
                <c:ptCount val="4"/>
                <c:pt idx="0">
                  <c:v>0.18</c:v>
                </c:pt>
                <c:pt idx="1">
                  <c:v>0.18</c:v>
                </c:pt>
                <c:pt idx="2">
                  <c:v>0.18</c:v>
                </c:pt>
              </c:numCache>
            </c:numRef>
          </c:val>
          <c:smooth val="0"/>
          <c:extLst>
            <c:ext xmlns:c16="http://schemas.microsoft.com/office/drawing/2014/chart" uri="{C3380CC4-5D6E-409C-BE32-E72D297353CC}">
              <c16:uniqueId val="{00000002-627D-4AAB-AA74-8F2611DFB0D9}"/>
            </c:ext>
          </c:extLst>
        </c:ser>
        <c:ser>
          <c:idx val="3"/>
          <c:order val="3"/>
          <c:tx>
            <c:strRef>
              <c:f>Benchmarks!$O$11</c:f>
              <c:strCache>
                <c:ptCount val="1"/>
                <c:pt idx="0">
                  <c:v>Historic Share of Bank and Credit Union Loans</c:v>
                </c:pt>
              </c:strCache>
            </c:strRef>
          </c:tx>
          <c:spPr>
            <a:ln w="28575" cap="rnd">
              <a:solidFill>
                <a:srgbClr val="FFFF00"/>
              </a:solidFill>
              <a:round/>
            </a:ln>
            <a:effectLst/>
          </c:spPr>
          <c:marker>
            <c:symbol val="none"/>
          </c:marker>
          <c:cat>
            <c:numRef>
              <c:f>Benchmarks!$P$7:$S$7</c:f>
              <c:numCache>
                <c:formatCode>General</c:formatCode>
                <c:ptCount val="4"/>
                <c:pt idx="0">
                  <c:v>1</c:v>
                </c:pt>
                <c:pt idx="1">
                  <c:v>2</c:v>
                </c:pt>
                <c:pt idx="2">
                  <c:v>3</c:v>
                </c:pt>
                <c:pt idx="3">
                  <c:v>4</c:v>
                </c:pt>
              </c:numCache>
            </c:numRef>
          </c:cat>
          <c:val>
            <c:numRef>
              <c:f>Benchmarks!$P$11:$S$11</c:f>
              <c:numCache>
                <c:formatCode>0%</c:formatCode>
                <c:ptCount val="4"/>
                <c:pt idx="0">
                  <c:v>0.12389562358742549</c:v>
                </c:pt>
                <c:pt idx="1">
                  <c:v>0.12389562358742549</c:v>
                </c:pt>
                <c:pt idx="2">
                  <c:v>0.12389562358742549</c:v>
                </c:pt>
              </c:numCache>
            </c:numRef>
          </c:val>
          <c:smooth val="0"/>
          <c:extLst>
            <c:ext xmlns:c16="http://schemas.microsoft.com/office/drawing/2014/chart" uri="{C3380CC4-5D6E-409C-BE32-E72D297353CC}">
              <c16:uniqueId val="{00000000-D664-44C2-9B9C-8AA23550DFFE}"/>
            </c:ext>
          </c:extLst>
        </c:ser>
        <c:dLbls>
          <c:showLegendKey val="0"/>
          <c:showVal val="0"/>
          <c:showCatName val="0"/>
          <c:showSerName val="0"/>
          <c:showPercent val="0"/>
          <c:showBubbleSize val="0"/>
        </c:dLbls>
        <c:marker val="1"/>
        <c:smooth val="0"/>
        <c:axId val="393729999"/>
        <c:axId val="393733327"/>
      </c:lineChart>
      <c:catAx>
        <c:axId val="393729999"/>
        <c:scaling>
          <c:orientation val="minMax"/>
        </c:scaling>
        <c:delete val="0"/>
        <c:axPos val="b"/>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733327"/>
        <c:crosses val="autoZero"/>
        <c:auto val="1"/>
        <c:lblAlgn val="ctr"/>
        <c:lblOffset val="100"/>
        <c:noMultiLvlLbl val="0"/>
      </c:catAx>
      <c:valAx>
        <c:axId val="3937333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729999"/>
        <c:crosses val="autoZero"/>
        <c:crossBetween val="between"/>
      </c:valAx>
      <c:spPr>
        <a:noFill/>
        <a:ln>
          <a:noFill/>
        </a:ln>
        <a:effectLst/>
      </c:spPr>
    </c:plotArea>
    <c:legend>
      <c:legendPos val="b"/>
      <c:legendEntry>
        <c:idx val="1"/>
        <c:delete val="1"/>
      </c:legendEntry>
      <c:legendEntry>
        <c:idx val="2"/>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Benchmarks!$O$22</c:f>
          <c:strCache>
            <c:ptCount val="1"/>
            <c:pt idx="0">
              <c:v>Women Owned Businesses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Benchmarks!$O$24</c:f>
              <c:strCache>
                <c:ptCount val="1"/>
                <c:pt idx="0">
                  <c:v>Actual % of CLIMBER Loans to Women Owned Businesses</c:v>
                </c:pt>
              </c:strCache>
            </c:strRef>
          </c:tx>
          <c:spPr>
            <a:solidFill>
              <a:schemeClr val="accent1"/>
            </a:solidFill>
            <a:ln>
              <a:noFill/>
            </a:ln>
            <a:effectLst/>
          </c:spPr>
          <c:invertIfNegative val="0"/>
          <c:dLbls>
            <c:spPr>
              <a:solidFill>
                <a:schemeClr val="bg1"/>
              </a:solidFill>
              <a:ln>
                <a:solidFill>
                  <a:sysClr val="windowText" lastClr="000000"/>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Benchmarks!$P$7:$S$7</c:f>
              <c:numCache>
                <c:formatCode>General</c:formatCode>
                <c:ptCount val="4"/>
                <c:pt idx="0">
                  <c:v>1</c:v>
                </c:pt>
                <c:pt idx="1">
                  <c:v>2</c:v>
                </c:pt>
                <c:pt idx="2">
                  <c:v>3</c:v>
                </c:pt>
                <c:pt idx="3">
                  <c:v>4</c:v>
                </c:pt>
              </c:numCache>
            </c:numRef>
          </c:cat>
          <c:val>
            <c:numRef>
              <c:f>Benchmarks!$P$24:$S$24</c:f>
              <c:numCache>
                <c:formatCode>0%</c:formatCode>
                <c:ptCount val="4"/>
                <c:pt idx="1">
                  <c:v>0.24489795918367346</c:v>
                </c:pt>
              </c:numCache>
            </c:numRef>
          </c:val>
          <c:extLst>
            <c:ext xmlns:c16="http://schemas.microsoft.com/office/drawing/2014/chart" uri="{C3380CC4-5D6E-409C-BE32-E72D297353CC}">
              <c16:uniqueId val="{00000000-BC5E-4CBB-AB44-D6761D76A82C}"/>
            </c:ext>
          </c:extLst>
        </c:ser>
        <c:dLbls>
          <c:showLegendKey val="0"/>
          <c:showVal val="0"/>
          <c:showCatName val="0"/>
          <c:showSerName val="0"/>
          <c:showPercent val="0"/>
          <c:showBubbleSize val="0"/>
        </c:dLbls>
        <c:gapWidth val="219"/>
        <c:axId val="393729999"/>
        <c:axId val="393733327"/>
      </c:barChart>
      <c:lineChart>
        <c:grouping val="standard"/>
        <c:varyColors val="0"/>
        <c:ser>
          <c:idx val="1"/>
          <c:order val="1"/>
          <c:tx>
            <c:strRef>
              <c:f>Benchmarks!$O$25</c:f>
              <c:strCache>
                <c:ptCount val="1"/>
                <c:pt idx="0">
                  <c:v>% of SBA 7a Loans to Women Owned Businesses</c:v>
                </c:pt>
              </c:strCache>
            </c:strRef>
          </c:tx>
          <c:spPr>
            <a:ln w="28575" cap="rnd">
              <a:solidFill>
                <a:schemeClr val="accent2"/>
              </a:solidFill>
              <a:round/>
            </a:ln>
            <a:effectLst/>
          </c:spPr>
          <c:marker>
            <c:symbol val="none"/>
          </c:marker>
          <c:cat>
            <c:numRef>
              <c:f>Benchmarks!$P$7:$S$7</c:f>
              <c:numCache>
                <c:formatCode>General</c:formatCode>
                <c:ptCount val="4"/>
                <c:pt idx="0">
                  <c:v>1</c:v>
                </c:pt>
                <c:pt idx="1">
                  <c:v>2</c:v>
                </c:pt>
                <c:pt idx="2">
                  <c:v>3</c:v>
                </c:pt>
                <c:pt idx="3">
                  <c:v>4</c:v>
                </c:pt>
              </c:numCache>
            </c:numRef>
          </c:cat>
          <c:val>
            <c:numRef>
              <c:f>Benchmarks!$P$25:$S$25</c:f>
              <c:numCache>
                <c:formatCode>0%</c:formatCode>
                <c:ptCount val="4"/>
                <c:pt idx="0">
                  <c:v>0.35333333333333333</c:v>
                </c:pt>
                <c:pt idx="1">
                  <c:v>0.35333333333333333</c:v>
                </c:pt>
                <c:pt idx="2">
                  <c:v>0.35333333333333333</c:v>
                </c:pt>
              </c:numCache>
            </c:numRef>
          </c:val>
          <c:smooth val="0"/>
          <c:extLst>
            <c:ext xmlns:c16="http://schemas.microsoft.com/office/drawing/2014/chart" uri="{C3380CC4-5D6E-409C-BE32-E72D297353CC}">
              <c16:uniqueId val="{00000001-BC5E-4CBB-AB44-D6761D76A82C}"/>
            </c:ext>
          </c:extLst>
        </c:ser>
        <c:ser>
          <c:idx val="2"/>
          <c:order val="2"/>
          <c:tx>
            <c:strRef>
              <c:f>Benchmarks!$O$26</c:f>
              <c:strCache>
                <c:ptCount val="1"/>
                <c:pt idx="0">
                  <c:v>% of Women Owned Businesses in Colorado</c:v>
                </c:pt>
              </c:strCache>
            </c:strRef>
          </c:tx>
          <c:spPr>
            <a:ln w="28575" cap="rnd">
              <a:solidFill>
                <a:schemeClr val="accent3"/>
              </a:solidFill>
              <a:round/>
            </a:ln>
            <a:effectLst/>
          </c:spPr>
          <c:marker>
            <c:symbol val="none"/>
          </c:marker>
          <c:cat>
            <c:numRef>
              <c:f>Benchmarks!$P$7:$S$7</c:f>
              <c:numCache>
                <c:formatCode>General</c:formatCode>
                <c:ptCount val="4"/>
                <c:pt idx="0">
                  <c:v>1</c:v>
                </c:pt>
                <c:pt idx="1">
                  <c:v>2</c:v>
                </c:pt>
                <c:pt idx="2">
                  <c:v>3</c:v>
                </c:pt>
                <c:pt idx="3">
                  <c:v>4</c:v>
                </c:pt>
              </c:numCache>
            </c:numRef>
          </c:cat>
          <c:val>
            <c:numRef>
              <c:f>Benchmarks!$P$26:$S$26</c:f>
              <c:numCache>
                <c:formatCode>0%</c:formatCode>
                <c:ptCount val="4"/>
                <c:pt idx="0">
                  <c:v>0.39</c:v>
                </c:pt>
                <c:pt idx="1">
                  <c:v>0.39</c:v>
                </c:pt>
                <c:pt idx="2">
                  <c:v>0.39</c:v>
                </c:pt>
              </c:numCache>
            </c:numRef>
          </c:val>
          <c:smooth val="0"/>
          <c:extLst>
            <c:ext xmlns:c16="http://schemas.microsoft.com/office/drawing/2014/chart" uri="{C3380CC4-5D6E-409C-BE32-E72D297353CC}">
              <c16:uniqueId val="{00000002-BC5E-4CBB-AB44-D6761D76A82C}"/>
            </c:ext>
          </c:extLst>
        </c:ser>
        <c:dLbls>
          <c:showLegendKey val="0"/>
          <c:showVal val="0"/>
          <c:showCatName val="0"/>
          <c:showSerName val="0"/>
          <c:showPercent val="0"/>
          <c:showBubbleSize val="0"/>
        </c:dLbls>
        <c:marker val="1"/>
        <c:smooth val="0"/>
        <c:axId val="393729999"/>
        <c:axId val="393733327"/>
      </c:lineChart>
      <c:catAx>
        <c:axId val="393729999"/>
        <c:scaling>
          <c:orientation val="minMax"/>
        </c:scaling>
        <c:delete val="0"/>
        <c:axPos val="b"/>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733327"/>
        <c:crosses val="autoZero"/>
        <c:auto val="1"/>
        <c:lblAlgn val="ctr"/>
        <c:lblOffset val="100"/>
        <c:noMultiLvlLbl val="0"/>
      </c:catAx>
      <c:valAx>
        <c:axId val="3937333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729999"/>
        <c:crosses val="autoZero"/>
        <c:crossBetween val="between"/>
      </c:valAx>
      <c:spPr>
        <a:noFill/>
        <a:ln>
          <a:noFill/>
        </a:ln>
        <a:effectLst/>
      </c:spPr>
    </c:plotArea>
    <c:legend>
      <c:legendPos val="b"/>
      <c:legendEntry>
        <c:idx val="1"/>
        <c:delete val="1"/>
      </c:legendEntry>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Benchmarks!$O$43</c:f>
          <c:strCache>
            <c:ptCount val="1"/>
            <c:pt idx="0">
              <c:v>Veteran Owned Businesses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Benchmarks!$O$45</c:f>
              <c:strCache>
                <c:ptCount val="1"/>
                <c:pt idx="0">
                  <c:v>Actual % of CLIMBER Loans to Veteran Owned Businesses</c:v>
                </c:pt>
              </c:strCache>
            </c:strRef>
          </c:tx>
          <c:spPr>
            <a:solidFill>
              <a:schemeClr val="accent1"/>
            </a:solidFill>
            <a:ln>
              <a:noFill/>
            </a:ln>
            <a:effectLst/>
          </c:spPr>
          <c:invertIfNegative val="0"/>
          <c:dLbls>
            <c:spPr>
              <a:solidFill>
                <a:schemeClr val="bg1"/>
              </a:solidFill>
              <a:ln>
                <a:solidFill>
                  <a:sysClr val="windowText" lastClr="000000"/>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Benchmarks!$P$7:$S$7</c:f>
              <c:numCache>
                <c:formatCode>General</c:formatCode>
                <c:ptCount val="4"/>
                <c:pt idx="0">
                  <c:v>1</c:v>
                </c:pt>
                <c:pt idx="1">
                  <c:v>2</c:v>
                </c:pt>
                <c:pt idx="2">
                  <c:v>3</c:v>
                </c:pt>
                <c:pt idx="3">
                  <c:v>4</c:v>
                </c:pt>
              </c:numCache>
            </c:numRef>
          </c:cat>
          <c:val>
            <c:numRef>
              <c:f>Benchmarks!$P$45:$S$45</c:f>
              <c:numCache>
                <c:formatCode>0%</c:formatCode>
                <c:ptCount val="4"/>
                <c:pt idx="1">
                  <c:v>6.1224489795918366E-2</c:v>
                </c:pt>
              </c:numCache>
            </c:numRef>
          </c:val>
          <c:extLst>
            <c:ext xmlns:c16="http://schemas.microsoft.com/office/drawing/2014/chart" uri="{C3380CC4-5D6E-409C-BE32-E72D297353CC}">
              <c16:uniqueId val="{00000000-02B5-42DC-9BE2-E2E5F060AA84}"/>
            </c:ext>
          </c:extLst>
        </c:ser>
        <c:dLbls>
          <c:showLegendKey val="0"/>
          <c:showVal val="0"/>
          <c:showCatName val="0"/>
          <c:showSerName val="0"/>
          <c:showPercent val="0"/>
          <c:showBubbleSize val="0"/>
        </c:dLbls>
        <c:gapWidth val="219"/>
        <c:axId val="393729999"/>
        <c:axId val="393733327"/>
      </c:barChart>
      <c:lineChart>
        <c:grouping val="standard"/>
        <c:varyColors val="0"/>
        <c:ser>
          <c:idx val="1"/>
          <c:order val="1"/>
          <c:tx>
            <c:strRef>
              <c:f>Benchmarks!$O$46</c:f>
              <c:strCache>
                <c:ptCount val="1"/>
              </c:strCache>
            </c:strRef>
          </c:tx>
          <c:spPr>
            <a:ln w="28575" cap="rnd">
              <a:solidFill>
                <a:schemeClr val="accent2"/>
              </a:solidFill>
              <a:round/>
            </a:ln>
            <a:effectLst/>
          </c:spPr>
          <c:marker>
            <c:symbol val="none"/>
          </c:marker>
          <c:cat>
            <c:numRef>
              <c:f>Benchmarks!$P$7:$S$7</c:f>
              <c:numCache>
                <c:formatCode>General</c:formatCode>
                <c:ptCount val="4"/>
                <c:pt idx="0">
                  <c:v>1</c:v>
                </c:pt>
                <c:pt idx="1">
                  <c:v>2</c:v>
                </c:pt>
                <c:pt idx="2">
                  <c:v>3</c:v>
                </c:pt>
                <c:pt idx="3">
                  <c:v>4</c:v>
                </c:pt>
              </c:numCache>
            </c:numRef>
          </c:cat>
          <c:val>
            <c:numRef>
              <c:f>Benchmarks!$P$46:$S$46</c:f>
              <c:numCache>
                <c:formatCode>0%</c:formatCode>
                <c:ptCount val="4"/>
              </c:numCache>
            </c:numRef>
          </c:val>
          <c:smooth val="0"/>
          <c:extLst>
            <c:ext xmlns:c16="http://schemas.microsoft.com/office/drawing/2014/chart" uri="{C3380CC4-5D6E-409C-BE32-E72D297353CC}">
              <c16:uniqueId val="{00000001-02B5-42DC-9BE2-E2E5F060AA84}"/>
            </c:ext>
          </c:extLst>
        </c:ser>
        <c:ser>
          <c:idx val="2"/>
          <c:order val="2"/>
          <c:tx>
            <c:strRef>
              <c:f>Benchmarks!$O$47</c:f>
              <c:strCache>
                <c:ptCount val="1"/>
                <c:pt idx="0">
                  <c:v>% of Veteran Owned Businesses in Colorado</c:v>
                </c:pt>
              </c:strCache>
            </c:strRef>
          </c:tx>
          <c:spPr>
            <a:ln w="28575" cap="rnd">
              <a:solidFill>
                <a:schemeClr val="accent3"/>
              </a:solidFill>
              <a:round/>
            </a:ln>
            <a:effectLst/>
          </c:spPr>
          <c:marker>
            <c:symbol val="none"/>
          </c:marker>
          <c:cat>
            <c:numRef>
              <c:f>Benchmarks!$P$7:$S$7</c:f>
              <c:numCache>
                <c:formatCode>General</c:formatCode>
                <c:ptCount val="4"/>
                <c:pt idx="0">
                  <c:v>1</c:v>
                </c:pt>
                <c:pt idx="1">
                  <c:v>2</c:v>
                </c:pt>
                <c:pt idx="2">
                  <c:v>3</c:v>
                </c:pt>
                <c:pt idx="3">
                  <c:v>4</c:v>
                </c:pt>
              </c:numCache>
            </c:numRef>
          </c:cat>
          <c:val>
            <c:numRef>
              <c:f>Benchmarks!$P$47:$S$47</c:f>
              <c:numCache>
                <c:formatCode>0%</c:formatCode>
                <c:ptCount val="4"/>
                <c:pt idx="0">
                  <c:v>0.09</c:v>
                </c:pt>
                <c:pt idx="1">
                  <c:v>0.09</c:v>
                </c:pt>
                <c:pt idx="2">
                  <c:v>0.09</c:v>
                </c:pt>
              </c:numCache>
            </c:numRef>
          </c:val>
          <c:smooth val="0"/>
          <c:extLst>
            <c:ext xmlns:c16="http://schemas.microsoft.com/office/drawing/2014/chart" uri="{C3380CC4-5D6E-409C-BE32-E72D297353CC}">
              <c16:uniqueId val="{00000002-02B5-42DC-9BE2-E2E5F060AA84}"/>
            </c:ext>
          </c:extLst>
        </c:ser>
        <c:dLbls>
          <c:showLegendKey val="0"/>
          <c:showVal val="0"/>
          <c:showCatName val="0"/>
          <c:showSerName val="0"/>
          <c:showPercent val="0"/>
          <c:showBubbleSize val="0"/>
        </c:dLbls>
        <c:marker val="1"/>
        <c:smooth val="0"/>
        <c:axId val="393729999"/>
        <c:axId val="393733327"/>
      </c:lineChart>
      <c:catAx>
        <c:axId val="393729999"/>
        <c:scaling>
          <c:orientation val="minMax"/>
        </c:scaling>
        <c:delete val="0"/>
        <c:axPos val="b"/>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733327"/>
        <c:crosses val="autoZero"/>
        <c:auto val="1"/>
        <c:lblAlgn val="ctr"/>
        <c:lblOffset val="100"/>
        <c:noMultiLvlLbl val="0"/>
      </c:catAx>
      <c:valAx>
        <c:axId val="3937333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729999"/>
        <c:crosses val="autoZero"/>
        <c:crossBetween val="between"/>
      </c:valAx>
      <c:spPr>
        <a:noFill/>
        <a:ln>
          <a:noFill/>
        </a:ln>
        <a:effectLst/>
      </c:spPr>
    </c:plotArea>
    <c:legend>
      <c:legendPos val="b"/>
      <c:legendEntry>
        <c:idx val="1"/>
        <c:delete val="1"/>
      </c:legendEntry>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Benchmarks!$O$60</c:f>
          <c:strCache>
            <c:ptCount val="1"/>
            <c:pt idx="0">
              <c:v>Rural Owned Businesses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Benchmarks!$O$62</c:f>
              <c:strCache>
                <c:ptCount val="1"/>
                <c:pt idx="0">
                  <c:v>Actual % of CLIMBER Loans to Rural Owned Businesses</c:v>
                </c:pt>
              </c:strCache>
            </c:strRef>
          </c:tx>
          <c:spPr>
            <a:solidFill>
              <a:schemeClr val="accent1"/>
            </a:solidFill>
            <a:ln>
              <a:noFill/>
            </a:ln>
            <a:effectLst/>
          </c:spPr>
          <c:invertIfNegative val="0"/>
          <c:dLbls>
            <c:spPr>
              <a:solidFill>
                <a:schemeClr val="bg1"/>
              </a:solidFill>
              <a:ln>
                <a:solidFill>
                  <a:sysClr val="windowText" lastClr="000000"/>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Benchmarks!$P$7:$S$7</c:f>
              <c:numCache>
                <c:formatCode>General</c:formatCode>
                <c:ptCount val="4"/>
                <c:pt idx="0">
                  <c:v>1</c:v>
                </c:pt>
                <c:pt idx="1">
                  <c:v>2</c:v>
                </c:pt>
                <c:pt idx="2">
                  <c:v>3</c:v>
                </c:pt>
                <c:pt idx="3">
                  <c:v>4</c:v>
                </c:pt>
              </c:numCache>
            </c:numRef>
          </c:cat>
          <c:val>
            <c:numRef>
              <c:f>Benchmarks!$P$62:$S$62</c:f>
              <c:numCache>
                <c:formatCode>0%</c:formatCode>
                <c:ptCount val="4"/>
                <c:pt idx="1">
                  <c:v>0.18367346938775511</c:v>
                </c:pt>
              </c:numCache>
            </c:numRef>
          </c:val>
          <c:extLst>
            <c:ext xmlns:c16="http://schemas.microsoft.com/office/drawing/2014/chart" uri="{C3380CC4-5D6E-409C-BE32-E72D297353CC}">
              <c16:uniqueId val="{00000000-A27A-49CF-9799-67088A40760F}"/>
            </c:ext>
          </c:extLst>
        </c:ser>
        <c:dLbls>
          <c:showLegendKey val="0"/>
          <c:showVal val="0"/>
          <c:showCatName val="0"/>
          <c:showSerName val="0"/>
          <c:showPercent val="0"/>
          <c:showBubbleSize val="0"/>
        </c:dLbls>
        <c:gapWidth val="219"/>
        <c:axId val="393729999"/>
        <c:axId val="393733327"/>
      </c:barChart>
      <c:lineChart>
        <c:grouping val="standard"/>
        <c:varyColors val="0"/>
        <c:ser>
          <c:idx val="1"/>
          <c:order val="1"/>
          <c:tx>
            <c:strRef>
              <c:f>Benchmarks!$O$63</c:f>
              <c:strCache>
                <c:ptCount val="1"/>
              </c:strCache>
            </c:strRef>
          </c:tx>
          <c:spPr>
            <a:ln w="28575" cap="rnd">
              <a:solidFill>
                <a:schemeClr val="accent2"/>
              </a:solidFill>
              <a:round/>
            </a:ln>
            <a:effectLst/>
          </c:spPr>
          <c:marker>
            <c:symbol val="none"/>
          </c:marker>
          <c:cat>
            <c:numRef>
              <c:f>Benchmarks!$P$7:$S$7</c:f>
              <c:numCache>
                <c:formatCode>General</c:formatCode>
                <c:ptCount val="4"/>
                <c:pt idx="0">
                  <c:v>1</c:v>
                </c:pt>
                <c:pt idx="1">
                  <c:v>2</c:v>
                </c:pt>
                <c:pt idx="2">
                  <c:v>3</c:v>
                </c:pt>
                <c:pt idx="3">
                  <c:v>4</c:v>
                </c:pt>
              </c:numCache>
            </c:numRef>
          </c:cat>
          <c:val>
            <c:numRef>
              <c:f>Benchmarks!$P$63:$S$63</c:f>
              <c:numCache>
                <c:formatCode>0%</c:formatCode>
                <c:ptCount val="4"/>
              </c:numCache>
            </c:numRef>
          </c:val>
          <c:smooth val="0"/>
          <c:extLst>
            <c:ext xmlns:c16="http://schemas.microsoft.com/office/drawing/2014/chart" uri="{C3380CC4-5D6E-409C-BE32-E72D297353CC}">
              <c16:uniqueId val="{00000001-A27A-49CF-9799-67088A40760F}"/>
            </c:ext>
          </c:extLst>
        </c:ser>
        <c:ser>
          <c:idx val="2"/>
          <c:order val="2"/>
          <c:tx>
            <c:strRef>
              <c:f>Benchmarks!$O$64</c:f>
              <c:strCache>
                <c:ptCount val="1"/>
                <c:pt idx="0">
                  <c:v>% of Rural Owned Businesses in Colorado</c:v>
                </c:pt>
              </c:strCache>
            </c:strRef>
          </c:tx>
          <c:spPr>
            <a:ln w="28575" cap="rnd">
              <a:solidFill>
                <a:schemeClr val="accent3"/>
              </a:solidFill>
              <a:round/>
            </a:ln>
            <a:effectLst/>
          </c:spPr>
          <c:marker>
            <c:symbol val="none"/>
          </c:marker>
          <c:cat>
            <c:numRef>
              <c:f>Benchmarks!$P$7:$S$7</c:f>
              <c:numCache>
                <c:formatCode>General</c:formatCode>
                <c:ptCount val="4"/>
                <c:pt idx="0">
                  <c:v>1</c:v>
                </c:pt>
                <c:pt idx="1">
                  <c:v>2</c:v>
                </c:pt>
                <c:pt idx="2">
                  <c:v>3</c:v>
                </c:pt>
                <c:pt idx="3">
                  <c:v>4</c:v>
                </c:pt>
              </c:numCache>
            </c:numRef>
          </c:cat>
          <c:val>
            <c:numRef>
              <c:f>Benchmarks!$P$64:$S$64</c:f>
              <c:numCache>
                <c:formatCode>0%</c:formatCode>
                <c:ptCount val="4"/>
                <c:pt idx="0">
                  <c:v>0.15</c:v>
                </c:pt>
                <c:pt idx="1">
                  <c:v>0.15</c:v>
                </c:pt>
                <c:pt idx="2">
                  <c:v>0.15</c:v>
                </c:pt>
              </c:numCache>
            </c:numRef>
          </c:val>
          <c:smooth val="0"/>
          <c:extLst>
            <c:ext xmlns:c16="http://schemas.microsoft.com/office/drawing/2014/chart" uri="{C3380CC4-5D6E-409C-BE32-E72D297353CC}">
              <c16:uniqueId val="{00000002-A27A-49CF-9799-67088A40760F}"/>
            </c:ext>
          </c:extLst>
        </c:ser>
        <c:dLbls>
          <c:showLegendKey val="0"/>
          <c:showVal val="0"/>
          <c:showCatName val="0"/>
          <c:showSerName val="0"/>
          <c:showPercent val="0"/>
          <c:showBubbleSize val="0"/>
        </c:dLbls>
        <c:marker val="1"/>
        <c:smooth val="0"/>
        <c:axId val="393729999"/>
        <c:axId val="393733327"/>
      </c:lineChart>
      <c:catAx>
        <c:axId val="393729999"/>
        <c:scaling>
          <c:orientation val="minMax"/>
        </c:scaling>
        <c:delete val="0"/>
        <c:axPos val="b"/>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733327"/>
        <c:crosses val="autoZero"/>
        <c:auto val="1"/>
        <c:lblAlgn val="ctr"/>
        <c:lblOffset val="100"/>
        <c:noMultiLvlLbl val="0"/>
      </c:catAx>
      <c:valAx>
        <c:axId val="3937333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729999"/>
        <c:crosses val="autoZero"/>
        <c:crossBetween val="between"/>
      </c:valAx>
      <c:spPr>
        <a:noFill/>
        <a:ln>
          <a:noFill/>
        </a:ln>
        <a:effectLst/>
      </c:spPr>
    </c:plotArea>
    <c:legend>
      <c:legendPos val="b"/>
      <c:legendEntry>
        <c:idx val="1"/>
        <c:delete val="1"/>
      </c:legendEntry>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0"/>
          <c:tx>
            <c:strRef>
              <c:f>'W-V-M-R Targets'!$M$14</c:f>
              <c:strCache>
                <c:ptCount val="1"/>
                <c:pt idx="0">
                  <c:v>Historic Share of Bank and Credit Union Loans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'W-V-M-R Targets'!$M$15:$M$18</c:f>
              <c:numCache>
                <c:formatCode>0.0%</c:formatCode>
                <c:ptCount val="4"/>
                <c:pt idx="2">
                  <c:v>0.12389562358742549</c:v>
                </c:pt>
              </c:numCache>
            </c:numRef>
          </c:val>
          <c:extLst>
            <c:ext xmlns:c16="http://schemas.microsoft.com/office/drawing/2014/chart" uri="{C3380CC4-5D6E-409C-BE32-E72D297353CC}">
              <c16:uniqueId val="{00000002-110B-4C41-A204-B08540B1D1A2}"/>
            </c:ext>
          </c:extLst>
        </c:ser>
        <c:ser>
          <c:idx val="1"/>
          <c:order val="1"/>
          <c:tx>
            <c:strRef>
              <c:f>'W-V-M-R Targets'!$Q$14</c:f>
              <c:strCache>
                <c:ptCount val="1"/>
                <c:pt idx="0">
                  <c:v>SBA 7a % of # of Loans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'W-V-M-R Targets'!$N$15:$N$18</c:f>
              <c:numCache>
                <c:formatCode>0.0%</c:formatCode>
                <c:ptCount val="4"/>
                <c:pt idx="0">
                  <c:v>0.35333333333333333</c:v>
                </c:pt>
                <c:pt idx="2">
                  <c:v>8.9437709745907853E-2</c:v>
                </c:pt>
              </c:numCache>
            </c:numRef>
          </c:val>
          <c:extLst>
            <c:ext xmlns:c16="http://schemas.microsoft.com/office/drawing/2014/chart" uri="{C3380CC4-5D6E-409C-BE32-E72D297353CC}">
              <c16:uniqueId val="{00000001-110B-4C41-A204-B08540B1D1A2}"/>
            </c:ext>
          </c:extLst>
        </c:ser>
        <c:ser>
          <c:idx val="0"/>
          <c:order val="2"/>
          <c:tx>
            <c:strRef>
              <c:f>'W-V-M-R Targets'!$P$14</c:f>
              <c:strCache>
                <c:ptCount val="1"/>
                <c:pt idx="0">
                  <c:v>% of Employee Businesses in CO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'W-V-M-R Targets'!$L$15:$L$18</c:f>
              <c:strCache>
                <c:ptCount val="4"/>
                <c:pt idx="0">
                  <c:v>Women</c:v>
                </c:pt>
                <c:pt idx="1">
                  <c:v>Veteran</c:v>
                </c:pt>
                <c:pt idx="2">
                  <c:v>Minority</c:v>
                </c:pt>
                <c:pt idx="3">
                  <c:v>Rural</c:v>
                </c:pt>
              </c:strCache>
            </c:strRef>
          </c:cat>
          <c:val>
            <c:numRef>
              <c:f>'W-V-M-R Targets'!$O$15:$O$18</c:f>
              <c:numCache>
                <c:formatCode>0.0%</c:formatCode>
                <c:ptCount val="4"/>
                <c:pt idx="0">
                  <c:v>3.6666666666666681E-2</c:v>
                </c:pt>
                <c:pt idx="1">
                  <c:v>0.09</c:v>
                </c:pt>
                <c:pt idx="3">
                  <c:v>0.15</c:v>
                </c:pt>
              </c:numCache>
            </c:numRef>
          </c:val>
          <c:extLst>
            <c:ext xmlns:c16="http://schemas.microsoft.com/office/drawing/2014/chart" uri="{C3380CC4-5D6E-409C-BE32-E72D297353CC}">
              <c16:uniqueId val="{00000000-110B-4C41-A204-B08540B1D1A2}"/>
            </c:ext>
          </c:extLst>
        </c:ser>
        <c:dLbls>
          <c:showLegendKey val="0"/>
          <c:showVal val="0"/>
          <c:showCatName val="0"/>
          <c:showSerName val="0"/>
          <c:showPercent val="0"/>
          <c:showBubbleSize val="0"/>
        </c:dLbls>
        <c:gapWidth val="150"/>
        <c:overlap val="100"/>
        <c:axId val="890362511"/>
        <c:axId val="890356687"/>
      </c:barChart>
      <c:catAx>
        <c:axId val="8903625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0356687"/>
        <c:crosses val="autoZero"/>
        <c:auto val="1"/>
        <c:lblAlgn val="ctr"/>
        <c:lblOffset val="100"/>
        <c:noMultiLvlLbl val="0"/>
      </c:catAx>
      <c:valAx>
        <c:axId val="89035668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03625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'W-V-M-R Targets'!$B$1</c:f>
          <c:strCache>
            <c:ptCount val="1"/>
            <c:pt idx="0">
              <c:v>Statewide Targets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'W-V-M-R Targets'!$M$14</c:f>
              <c:strCache>
                <c:ptCount val="1"/>
                <c:pt idx="0">
                  <c:v>Historic Share of Bank and Credit Union Loans</c:v>
                </c:pt>
              </c:strCache>
            </c:strRef>
          </c:tx>
          <c:spPr>
            <a:solidFill>
              <a:schemeClr val="accent1"/>
            </a:solidFill>
            <a:ln>
              <a:solidFill>
                <a:schemeClr val="accent1"/>
              </a:solidFill>
            </a:ln>
            <a:effectLst/>
          </c:spPr>
          <c:invertIfNegative val="0"/>
          <c:cat>
            <c:strRef>
              <c:f>'W-V-M-R Targets'!$L$15:$L$18</c:f>
              <c:strCache>
                <c:ptCount val="4"/>
                <c:pt idx="0">
                  <c:v>Women</c:v>
                </c:pt>
                <c:pt idx="1">
                  <c:v>Veteran</c:v>
                </c:pt>
                <c:pt idx="2">
                  <c:v>Minority</c:v>
                </c:pt>
                <c:pt idx="3">
                  <c:v>Rural</c:v>
                </c:pt>
              </c:strCache>
            </c:strRef>
          </c:cat>
          <c:val>
            <c:numRef>
              <c:f>'W-V-M-R Targets'!$M$15:$M$18</c:f>
              <c:numCache>
                <c:formatCode>0.0%</c:formatCode>
                <c:ptCount val="4"/>
                <c:pt idx="2">
                  <c:v>0.12389562358742549</c:v>
                </c:pt>
              </c:numCache>
            </c:numRef>
          </c:val>
          <c:extLst>
            <c:ext xmlns:c16="http://schemas.microsoft.com/office/drawing/2014/chart" uri="{C3380CC4-5D6E-409C-BE32-E72D297353CC}">
              <c16:uniqueId val="{00000000-F102-4708-804A-174C667BBC4C}"/>
            </c:ext>
          </c:extLst>
        </c:ser>
        <c:ser>
          <c:idx val="1"/>
          <c:order val="1"/>
          <c:tx>
            <c:strRef>
              <c:f>'W-V-M-R Targets'!$N$14</c:f>
              <c:strCache>
                <c:ptCount val="1"/>
                <c:pt idx="0">
                  <c:v>SBA 7a % of # of Loans</c:v>
                </c:pt>
              </c:strCache>
            </c:strRef>
          </c:tx>
          <c:spPr>
            <a:solidFill>
              <a:schemeClr val="accent2"/>
            </a:solidFill>
            <a:ln>
              <a:noFill/>
            </a:ln>
            <a:effectLst/>
          </c:spPr>
          <c:invertIfNegative val="0"/>
          <c:cat>
            <c:strRef>
              <c:f>'W-V-M-R Targets'!$L$15:$L$18</c:f>
              <c:strCache>
                <c:ptCount val="4"/>
                <c:pt idx="0">
                  <c:v>Women</c:v>
                </c:pt>
                <c:pt idx="1">
                  <c:v>Veteran</c:v>
                </c:pt>
                <c:pt idx="2">
                  <c:v>Minority</c:v>
                </c:pt>
                <c:pt idx="3">
                  <c:v>Rural</c:v>
                </c:pt>
              </c:strCache>
            </c:strRef>
          </c:cat>
          <c:val>
            <c:numRef>
              <c:f>'W-V-M-R Targets'!$N$15:$N$18</c:f>
              <c:numCache>
                <c:formatCode>0.0%</c:formatCode>
                <c:ptCount val="4"/>
                <c:pt idx="0">
                  <c:v>0.35333333333333333</c:v>
                </c:pt>
                <c:pt idx="2">
                  <c:v>8.9437709745907853E-2</c:v>
                </c:pt>
              </c:numCache>
            </c:numRef>
          </c:val>
          <c:extLst>
            <c:ext xmlns:c16="http://schemas.microsoft.com/office/drawing/2014/chart" uri="{C3380CC4-5D6E-409C-BE32-E72D297353CC}">
              <c16:uniqueId val="{00000001-F102-4708-804A-174C667BBC4C}"/>
            </c:ext>
          </c:extLst>
        </c:ser>
        <c:ser>
          <c:idx val="2"/>
          <c:order val="2"/>
          <c:tx>
            <c:strRef>
              <c:f>'W-V-M-R Targets'!$P$14</c:f>
              <c:strCache>
                <c:ptCount val="1"/>
                <c:pt idx="0">
                  <c:v>% of Employee Businesses in CO</c:v>
                </c:pt>
              </c:strCache>
            </c:strRef>
          </c:tx>
          <c:spPr>
            <a:solidFill>
              <a:schemeClr val="accent3"/>
            </a:solidFill>
            <a:ln>
              <a:noFill/>
            </a:ln>
            <a:effectLst/>
          </c:spPr>
          <c:invertIfNegative val="0"/>
          <c:cat>
            <c:strRef>
              <c:f>'W-V-M-R Targets'!$L$15:$L$18</c:f>
              <c:strCache>
                <c:ptCount val="4"/>
                <c:pt idx="0">
                  <c:v>Women</c:v>
                </c:pt>
                <c:pt idx="1">
                  <c:v>Veteran</c:v>
                </c:pt>
                <c:pt idx="2">
                  <c:v>Minority</c:v>
                </c:pt>
                <c:pt idx="3">
                  <c:v>Rural</c:v>
                </c:pt>
              </c:strCache>
            </c:strRef>
          </c:cat>
          <c:val>
            <c:numRef>
              <c:f>'W-V-M-R Targets'!$P$15:$P$18</c:f>
              <c:numCache>
                <c:formatCode>0.0%</c:formatCode>
                <c:ptCount val="4"/>
                <c:pt idx="0">
                  <c:v>0.39</c:v>
                </c:pt>
                <c:pt idx="1">
                  <c:v>0.09</c:v>
                </c:pt>
                <c:pt idx="2">
                  <c:v>0.18</c:v>
                </c:pt>
                <c:pt idx="3">
                  <c:v>0.15</c:v>
                </c:pt>
              </c:numCache>
            </c:numRef>
          </c:val>
          <c:extLst>
            <c:ext xmlns:c16="http://schemas.microsoft.com/office/drawing/2014/chart" uri="{C3380CC4-5D6E-409C-BE32-E72D297353CC}">
              <c16:uniqueId val="{00000002-F102-4708-804A-174C667BBC4C}"/>
            </c:ext>
          </c:extLst>
        </c:ser>
        <c:dLbls>
          <c:showLegendKey val="0"/>
          <c:showVal val="0"/>
          <c:showCatName val="0"/>
          <c:showSerName val="0"/>
          <c:showPercent val="0"/>
          <c:showBubbleSize val="0"/>
        </c:dLbls>
        <c:gapWidth val="219"/>
        <c:overlap val="-24"/>
        <c:axId val="537140223"/>
        <c:axId val="537140639"/>
      </c:barChart>
      <c:catAx>
        <c:axId val="537140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140639"/>
        <c:crosses val="autoZero"/>
        <c:auto val="1"/>
        <c:lblAlgn val="ctr"/>
        <c:lblOffset val="100"/>
        <c:noMultiLvlLbl val="0"/>
      </c:catAx>
      <c:valAx>
        <c:axId val="53714063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1402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1.png"/><Relationship Id="rId1"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357187</xdr:colOff>
      <xdr:row>5</xdr:row>
      <xdr:rowOff>47625</xdr:rowOff>
    </xdr:from>
    <xdr:to>
      <xdr:col>8</xdr:col>
      <xdr:colOff>52387</xdr:colOff>
      <xdr:row>19</xdr:row>
      <xdr:rowOff>123825</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357187</xdr:colOff>
      <xdr:row>22</xdr:row>
      <xdr:rowOff>0</xdr:rowOff>
    </xdr:from>
    <xdr:to>
      <xdr:col>8</xdr:col>
      <xdr:colOff>52387</xdr:colOff>
      <xdr:row>36</xdr:row>
      <xdr:rowOff>76200</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263525</xdr:colOff>
      <xdr:row>8</xdr:row>
      <xdr:rowOff>15882</xdr:rowOff>
    </xdr:from>
    <xdr:to>
      <xdr:col>8</xdr:col>
      <xdr:colOff>1588</xdr:colOff>
      <xdr:row>9</xdr:row>
      <xdr:rowOff>182569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319463" y="1746257"/>
          <a:ext cx="1571625" cy="35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SBA 7a Loans to Minority Owned Businesses in Colorado</a:t>
          </a:r>
        </a:p>
      </xdr:txBody>
    </xdr:sp>
    <xdr:clientData/>
  </xdr:twoCellAnchor>
  <xdr:twoCellAnchor>
    <xdr:from>
      <xdr:col>5</xdr:col>
      <xdr:colOff>263525</xdr:colOff>
      <xdr:row>10</xdr:row>
      <xdr:rowOff>9536</xdr:rowOff>
    </xdr:from>
    <xdr:to>
      <xdr:col>8</xdr:col>
      <xdr:colOff>1588</xdr:colOff>
      <xdr:row>11</xdr:row>
      <xdr:rowOff>174625</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3319463" y="2120911"/>
          <a:ext cx="1571625" cy="355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Minority Owned Businesses in Colorado</a:t>
          </a:r>
        </a:p>
      </xdr:txBody>
    </xdr:sp>
    <xdr:clientData/>
  </xdr:twoCellAnchor>
  <xdr:twoCellAnchor>
    <xdr:from>
      <xdr:col>5</xdr:col>
      <xdr:colOff>263525</xdr:colOff>
      <xdr:row>12</xdr:row>
      <xdr:rowOff>3167</xdr:rowOff>
    </xdr:from>
    <xdr:to>
      <xdr:col>8</xdr:col>
      <xdr:colOff>1588</xdr:colOff>
      <xdr:row>14</xdr:row>
      <xdr:rowOff>87305</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3319463" y="2495542"/>
          <a:ext cx="1571625" cy="4651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est. Historic Share of Bank and Credit Union Loans to Minority Owned Businesses in Colorado</a:t>
          </a:r>
        </a:p>
      </xdr:txBody>
    </xdr:sp>
    <xdr:clientData/>
  </xdr:twoCellAnchor>
  <xdr:twoCellAnchor>
    <xdr:from>
      <xdr:col>5</xdr:col>
      <xdr:colOff>287338</xdr:colOff>
      <xdr:row>24</xdr:row>
      <xdr:rowOff>140310</xdr:rowOff>
    </xdr:from>
    <xdr:to>
      <xdr:col>8</xdr:col>
      <xdr:colOff>25401</xdr:colOff>
      <xdr:row>26</xdr:row>
      <xdr:rowOff>116497</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3328011" y="4924791"/>
          <a:ext cx="1562467" cy="35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Women Owned Businesses in Colorado</a:t>
          </a:r>
        </a:p>
      </xdr:txBody>
    </xdr:sp>
    <xdr:clientData/>
  </xdr:twoCellAnchor>
  <xdr:twoCellAnchor>
    <xdr:from>
      <xdr:col>5</xdr:col>
      <xdr:colOff>287338</xdr:colOff>
      <xdr:row>26</xdr:row>
      <xdr:rowOff>138239</xdr:rowOff>
    </xdr:from>
    <xdr:to>
      <xdr:col>8</xdr:col>
      <xdr:colOff>25401</xdr:colOff>
      <xdr:row>28</xdr:row>
      <xdr:rowOff>114426</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3328011" y="5303720"/>
          <a:ext cx="1562467" cy="35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SBA 7a Loans to Women Owned Businesses in Colorado</a:t>
          </a:r>
        </a:p>
      </xdr:txBody>
    </xdr:sp>
    <xdr:clientData/>
  </xdr:twoCellAnchor>
  <xdr:twoCellAnchor>
    <xdr:from>
      <xdr:col>6</xdr:col>
      <xdr:colOff>80566</xdr:colOff>
      <xdr:row>6</xdr:row>
      <xdr:rowOff>158750</xdr:rowOff>
    </xdr:from>
    <xdr:to>
      <xdr:col>7</xdr:col>
      <xdr:colOff>184546</xdr:colOff>
      <xdr:row>7</xdr:row>
      <xdr:rowOff>182552</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3747691" y="1508125"/>
          <a:ext cx="715168" cy="2143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u="sng"/>
            <a:t>Benchmarks</a:t>
          </a:r>
        </a:p>
      </xdr:txBody>
    </xdr:sp>
    <xdr:clientData/>
  </xdr:twoCellAnchor>
  <xdr:twoCellAnchor>
    <xdr:from>
      <xdr:col>1</xdr:col>
      <xdr:colOff>172221</xdr:colOff>
      <xdr:row>8</xdr:row>
      <xdr:rowOff>109667</xdr:rowOff>
    </xdr:from>
    <xdr:to>
      <xdr:col>1</xdr:col>
      <xdr:colOff>573858</xdr:colOff>
      <xdr:row>9</xdr:row>
      <xdr:rowOff>139823</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780356" y="1846148"/>
          <a:ext cx="401637" cy="220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21%</a:t>
          </a:r>
        </a:p>
      </xdr:txBody>
    </xdr:sp>
    <xdr:clientData/>
  </xdr:twoCellAnchor>
  <xdr:twoCellAnchor>
    <xdr:from>
      <xdr:col>1</xdr:col>
      <xdr:colOff>172221</xdr:colOff>
      <xdr:row>9</xdr:row>
      <xdr:rowOff>168038</xdr:rowOff>
    </xdr:from>
    <xdr:to>
      <xdr:col>1</xdr:col>
      <xdr:colOff>573858</xdr:colOff>
      <xdr:row>11</xdr:row>
      <xdr:rowOff>7694</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780356" y="2095019"/>
          <a:ext cx="401637" cy="220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18%</a:t>
          </a:r>
        </a:p>
      </xdr:txBody>
    </xdr:sp>
    <xdr:clientData/>
  </xdr:twoCellAnchor>
  <xdr:twoCellAnchor>
    <xdr:from>
      <xdr:col>1</xdr:col>
      <xdr:colOff>172221</xdr:colOff>
      <xdr:row>12</xdr:row>
      <xdr:rowOff>20644</xdr:rowOff>
    </xdr:from>
    <xdr:to>
      <xdr:col>1</xdr:col>
      <xdr:colOff>573858</xdr:colOff>
      <xdr:row>13</xdr:row>
      <xdr:rowOff>50800</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783409" y="2513019"/>
          <a:ext cx="401637" cy="220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a:t>
          </a:r>
        </a:p>
      </xdr:txBody>
    </xdr:sp>
    <xdr:clientData/>
  </xdr:twoCellAnchor>
  <xdr:twoCellAnchor>
    <xdr:from>
      <xdr:col>1</xdr:col>
      <xdr:colOff>142852</xdr:colOff>
      <xdr:row>24</xdr:row>
      <xdr:rowOff>188921</xdr:rowOff>
    </xdr:from>
    <xdr:to>
      <xdr:col>1</xdr:col>
      <xdr:colOff>544489</xdr:colOff>
      <xdr:row>26</xdr:row>
      <xdr:rowOff>28577</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750987" y="4973402"/>
          <a:ext cx="401637" cy="220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39%</a:t>
          </a:r>
        </a:p>
      </xdr:txBody>
    </xdr:sp>
    <xdr:clientData/>
  </xdr:twoCellAnchor>
  <xdr:twoCellAnchor>
    <xdr:from>
      <xdr:col>1</xdr:col>
      <xdr:colOff>142852</xdr:colOff>
      <xdr:row>26</xdr:row>
      <xdr:rowOff>28708</xdr:rowOff>
    </xdr:from>
    <xdr:to>
      <xdr:col>1</xdr:col>
      <xdr:colOff>544489</xdr:colOff>
      <xdr:row>27</xdr:row>
      <xdr:rowOff>58864</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750987" y="5194189"/>
          <a:ext cx="401637" cy="220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35%</a:t>
          </a:r>
        </a:p>
      </xdr:txBody>
    </xdr:sp>
    <xdr:clientData/>
  </xdr:twoCellAnchor>
  <xdr:twoCellAnchor>
    <xdr:from>
      <xdr:col>6</xdr:col>
      <xdr:colOff>96442</xdr:colOff>
      <xdr:row>24</xdr:row>
      <xdr:rowOff>6479</xdr:rowOff>
    </xdr:from>
    <xdr:to>
      <xdr:col>7</xdr:col>
      <xdr:colOff>216296</xdr:colOff>
      <xdr:row>25</xdr:row>
      <xdr:rowOff>30281</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3745250" y="4790960"/>
          <a:ext cx="727988" cy="2143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u="sng"/>
            <a:t>Benchmarks</a:t>
          </a:r>
        </a:p>
      </xdr:txBody>
    </xdr:sp>
    <xdr:clientData/>
  </xdr:twoCellAnchor>
  <xdr:twoCellAnchor>
    <xdr:from>
      <xdr:col>0</xdr:col>
      <xdr:colOff>357187</xdr:colOff>
      <xdr:row>39</xdr:row>
      <xdr:rowOff>0</xdr:rowOff>
    </xdr:from>
    <xdr:to>
      <xdr:col>8</xdr:col>
      <xdr:colOff>52387</xdr:colOff>
      <xdr:row>53</xdr:row>
      <xdr:rowOff>76200</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278545</xdr:colOff>
      <xdr:row>42</xdr:row>
      <xdr:rowOff>58249</xdr:rowOff>
    </xdr:from>
    <xdr:to>
      <xdr:col>8</xdr:col>
      <xdr:colOff>16608</xdr:colOff>
      <xdr:row>44</xdr:row>
      <xdr:rowOff>34436</xdr:rowOff>
    </xdr:to>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3319218" y="8271730"/>
          <a:ext cx="1562467" cy="35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Veteran Owned Businesses in Colorado</a:t>
          </a:r>
        </a:p>
      </xdr:txBody>
    </xdr:sp>
    <xdr:clientData/>
  </xdr:twoCellAnchor>
  <xdr:twoCellAnchor>
    <xdr:from>
      <xdr:col>1</xdr:col>
      <xdr:colOff>134059</xdr:colOff>
      <xdr:row>42</xdr:row>
      <xdr:rowOff>99536</xdr:rowOff>
    </xdr:from>
    <xdr:to>
      <xdr:col>1</xdr:col>
      <xdr:colOff>535696</xdr:colOff>
      <xdr:row>43</xdr:row>
      <xdr:rowOff>129692</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742194" y="8313017"/>
          <a:ext cx="401637" cy="220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9%</a:t>
          </a:r>
        </a:p>
      </xdr:txBody>
    </xdr:sp>
    <xdr:clientData/>
  </xdr:twoCellAnchor>
  <xdr:twoCellAnchor>
    <xdr:from>
      <xdr:col>0</xdr:col>
      <xdr:colOff>373671</xdr:colOff>
      <xdr:row>56</xdr:row>
      <xdr:rowOff>0</xdr:rowOff>
    </xdr:from>
    <xdr:to>
      <xdr:col>8</xdr:col>
      <xdr:colOff>68871</xdr:colOff>
      <xdr:row>70</xdr:row>
      <xdr:rowOff>76200</xdr:rowOff>
    </xdr:to>
    <xdr:graphicFrame macro="">
      <xdr:nvGraphicFramePr>
        <xdr:cNvPr id="21" name="Chart 20">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329831</xdr:colOff>
      <xdr:row>61</xdr:row>
      <xdr:rowOff>146170</xdr:rowOff>
    </xdr:from>
    <xdr:to>
      <xdr:col>8</xdr:col>
      <xdr:colOff>67894</xdr:colOff>
      <xdr:row>63</xdr:row>
      <xdr:rowOff>7327</xdr:rowOff>
    </xdr:to>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3370504" y="11979151"/>
          <a:ext cx="1562467" cy="2421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Rural Businesses in Colorado</a:t>
          </a:r>
        </a:p>
      </xdr:txBody>
    </xdr:sp>
    <xdr:clientData/>
  </xdr:twoCellAnchor>
  <xdr:twoCellAnchor>
    <xdr:from>
      <xdr:col>1</xdr:col>
      <xdr:colOff>156037</xdr:colOff>
      <xdr:row>61</xdr:row>
      <xdr:rowOff>150822</xdr:rowOff>
    </xdr:from>
    <xdr:to>
      <xdr:col>1</xdr:col>
      <xdr:colOff>557674</xdr:colOff>
      <xdr:row>62</xdr:row>
      <xdr:rowOff>180978</xdr:rowOff>
    </xdr:to>
    <xdr:sp macro="" textlink="">
      <xdr:nvSpPr>
        <xdr:cNvPr id="23" name="TextBox 22">
          <a:extLst>
            <a:ext uri="{FF2B5EF4-FFF2-40B4-BE49-F238E27FC236}">
              <a16:creationId xmlns:a16="http://schemas.microsoft.com/office/drawing/2014/main" id="{00000000-0008-0000-0100-000017000000}"/>
            </a:ext>
          </a:extLst>
        </xdr:cNvPr>
        <xdr:cNvSpPr txBox="1"/>
      </xdr:nvSpPr>
      <xdr:spPr>
        <a:xfrm>
          <a:off x="764172" y="11983803"/>
          <a:ext cx="401637" cy="220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15%</a:t>
          </a:r>
        </a:p>
      </xdr:txBody>
    </xdr:sp>
    <xdr:clientData/>
  </xdr:twoCellAnchor>
  <xdr:twoCellAnchor editAs="oneCell">
    <xdr:from>
      <xdr:col>0</xdr:col>
      <xdr:colOff>0</xdr:colOff>
      <xdr:row>78</xdr:row>
      <xdr:rowOff>0</xdr:rowOff>
    </xdr:from>
    <xdr:to>
      <xdr:col>8</xdr:col>
      <xdr:colOff>329711</xdr:colOff>
      <xdr:row>92</xdr:row>
      <xdr:rowOff>77900</xdr:rowOff>
    </xdr:to>
    <xdr:pic>
      <xdr:nvPicPr>
        <xdr:cNvPr id="24" name="Picture 23">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5"/>
        <a:stretch>
          <a:fillRect/>
        </a:stretch>
      </xdr:blipFill>
      <xdr:spPr>
        <a:xfrm>
          <a:off x="0" y="16060615"/>
          <a:ext cx="5194788" cy="2744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8</xdr:col>
      <xdr:colOff>117819</xdr:colOff>
      <xdr:row>18</xdr:row>
      <xdr:rowOff>85333</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0" y="2400300"/>
          <a:ext cx="6485714" cy="3133333"/>
        </a:xfrm>
        <a:prstGeom prst="rect">
          <a:avLst/>
        </a:prstGeom>
      </xdr:spPr>
    </xdr:pic>
    <xdr:clientData/>
  </xdr:twoCellAnchor>
  <xdr:twoCellAnchor editAs="oneCell">
    <xdr:from>
      <xdr:col>11</xdr:col>
      <xdr:colOff>0</xdr:colOff>
      <xdr:row>24</xdr:row>
      <xdr:rowOff>0</xdr:rowOff>
    </xdr:from>
    <xdr:to>
      <xdr:col>18</xdr:col>
      <xdr:colOff>414672</xdr:colOff>
      <xdr:row>45</xdr:row>
      <xdr:rowOff>75690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8304068" y="6312477"/>
          <a:ext cx="7714286" cy="4076190"/>
        </a:xfrm>
        <a:prstGeom prst="rect">
          <a:avLst/>
        </a:prstGeom>
      </xdr:spPr>
    </xdr:pic>
    <xdr:clientData/>
  </xdr:twoCellAnchor>
  <xdr:twoCellAnchor>
    <xdr:from>
      <xdr:col>18</xdr:col>
      <xdr:colOff>69273</xdr:colOff>
      <xdr:row>16</xdr:row>
      <xdr:rowOff>109104</xdr:rowOff>
    </xdr:from>
    <xdr:to>
      <xdr:col>25</xdr:col>
      <xdr:colOff>398318</xdr:colOff>
      <xdr:row>30</xdr:row>
      <xdr:rowOff>55418</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510886</xdr:colOff>
      <xdr:row>5</xdr:row>
      <xdr:rowOff>65809</xdr:rowOff>
    </xdr:from>
    <xdr:to>
      <xdr:col>27</xdr:col>
      <xdr:colOff>406977</xdr:colOff>
      <xdr:row>14</xdr:row>
      <xdr:rowOff>116032</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11</xdr:col>
      <xdr:colOff>294410</xdr:colOff>
      <xdr:row>45</xdr:row>
      <xdr:rowOff>95250</xdr:rowOff>
    </xdr:from>
    <xdr:to>
      <xdr:col>17</xdr:col>
      <xdr:colOff>10456</xdr:colOff>
      <xdr:row>59</xdr:row>
      <xdr:rowOff>113964</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a:stretch>
          <a:fillRect/>
        </a:stretch>
      </xdr:blipFill>
      <xdr:spPr>
        <a:xfrm>
          <a:off x="9386455" y="10884477"/>
          <a:ext cx="6409524" cy="268571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federalreserve.gov/newsevents/pressreleases/files/bcreg20200624a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U83"/>
  <sheetViews>
    <sheetView showGridLines="0" zoomScale="110" zoomScaleNormal="110" workbookViewId="0">
      <pane ySplit="6" topLeftCell="A7" activePane="bottomLeft" state="frozen"/>
      <selection activeCell="G5" sqref="G5"/>
      <selection pane="bottomLeft" activeCell="D6" sqref="D6"/>
    </sheetView>
  </sheetViews>
  <sheetFormatPr defaultRowHeight="15" outlineLevelCol="1" x14ac:dyDescent="0.25"/>
  <cols>
    <col min="1" max="1" width="12.140625" customWidth="1"/>
    <col min="2" max="2" width="11.28515625" hidden="1" customWidth="1" outlineLevel="1"/>
    <col min="3" max="3" width="11.28515625" customWidth="1" collapsed="1"/>
    <col min="4" max="4" width="15.140625" customWidth="1"/>
    <col min="5" max="5" width="11.28515625" customWidth="1"/>
    <col min="6" max="7" width="11.7109375" customWidth="1"/>
    <col min="9" max="9" width="16.5703125" customWidth="1" outlineLevel="1"/>
    <col min="10" max="10" width="17.85546875" customWidth="1"/>
    <col min="11" max="11" width="15.28515625" customWidth="1"/>
    <col min="12" max="12" width="13.42578125" customWidth="1"/>
    <col min="14" max="14" width="16.5703125" bestFit="1" customWidth="1"/>
    <col min="15" max="15" width="2.42578125" customWidth="1"/>
    <col min="16" max="17" width="14.28515625" customWidth="1"/>
    <col min="18" max="18" width="14.140625" customWidth="1" outlineLevel="1"/>
    <col min="19" max="19" width="12.5703125" bestFit="1" customWidth="1"/>
    <col min="20" max="20" width="15.5703125" customWidth="1"/>
  </cols>
  <sheetData>
    <row r="1" spans="1:21" x14ac:dyDescent="0.25">
      <c r="A1" t="s">
        <v>283</v>
      </c>
      <c r="K1" s="15"/>
      <c r="L1" s="15"/>
      <c r="M1" s="15"/>
      <c r="N1" s="15"/>
      <c r="O1" s="15"/>
      <c r="P1" s="15"/>
      <c r="Q1" s="15"/>
      <c r="R1" s="15">
        <v>3</v>
      </c>
    </row>
    <row r="2" spans="1:21" ht="15.75" thickBot="1" x14ac:dyDescent="0.3">
      <c r="E2" s="41" t="s">
        <v>265</v>
      </c>
      <c r="F2" s="9">
        <v>1249</v>
      </c>
      <c r="J2" s="145" t="s">
        <v>291</v>
      </c>
      <c r="K2" s="144">
        <v>1500000</v>
      </c>
      <c r="L2" s="15"/>
      <c r="M2" s="15"/>
      <c r="N2" s="15"/>
      <c r="O2" s="15"/>
      <c r="P2" s="15"/>
      <c r="Q2" s="15"/>
      <c r="R2" s="15"/>
    </row>
    <row r="3" spans="1:21" ht="45" x14ac:dyDescent="0.25">
      <c r="E3" s="41" t="s">
        <v>266</v>
      </c>
      <c r="F3" s="15">
        <f>SUM(F7:F15)</f>
        <v>76</v>
      </c>
      <c r="I3" s="136" t="s">
        <v>285</v>
      </c>
      <c r="J3" s="35">
        <v>15000000</v>
      </c>
      <c r="K3" s="142">
        <f>J3-K2</f>
        <v>13500000</v>
      </c>
      <c r="L3" s="143" t="s">
        <v>292</v>
      </c>
      <c r="M3" s="34"/>
      <c r="N3" s="44" t="s">
        <v>102</v>
      </c>
      <c r="O3" s="37"/>
      <c r="P3" s="44" t="s">
        <v>116</v>
      </c>
      <c r="Q3" s="44" t="s">
        <v>263</v>
      </c>
      <c r="R3" s="42" t="s">
        <v>112</v>
      </c>
      <c r="T3" s="113">
        <f>Q5/K3</f>
        <v>0</v>
      </c>
      <c r="U3" s="114" t="s">
        <v>267</v>
      </c>
    </row>
    <row r="4" spans="1:21" ht="15.75" thickBot="1" x14ac:dyDescent="0.3">
      <c r="E4" t="s">
        <v>268</v>
      </c>
      <c r="F4" s="48">
        <f>F3/F2</f>
        <v>6.0848678943154523E-2</v>
      </c>
      <c r="H4" s="41" t="s">
        <v>115</v>
      </c>
      <c r="J4" s="38">
        <v>0.73788845730720054</v>
      </c>
      <c r="K4" s="133">
        <f>K3*J4</f>
        <v>9961494.1736472081</v>
      </c>
      <c r="L4" s="36" t="s">
        <v>108</v>
      </c>
      <c r="N4" s="45">
        <v>100000</v>
      </c>
      <c r="O4" s="9"/>
      <c r="P4" s="45">
        <v>30000</v>
      </c>
      <c r="Q4" s="45">
        <v>0</v>
      </c>
      <c r="R4" s="46">
        <v>0</v>
      </c>
    </row>
    <row r="5" spans="1:21" ht="15.75" thickBot="1" x14ac:dyDescent="0.3">
      <c r="D5" s="111">
        <f>SUM(D7:D15)</f>
        <v>0.83199262491521342</v>
      </c>
      <c r="E5" s="126" t="s">
        <v>294</v>
      </c>
      <c r="N5" s="134">
        <f>N71</f>
        <v>2488505.8263527923</v>
      </c>
      <c r="O5" s="9"/>
      <c r="P5" s="134">
        <f>P71</f>
        <v>1050000</v>
      </c>
      <c r="Q5" s="134">
        <f>Q71</f>
        <v>0</v>
      </c>
      <c r="S5" s="21">
        <f>P5+N5+K4+R4+Q5</f>
        <v>13500000</v>
      </c>
      <c r="T5" s="43" t="s">
        <v>290</v>
      </c>
    </row>
    <row r="6" spans="1:21" ht="90.75" thickBot="1" x14ac:dyDescent="0.3">
      <c r="A6" s="6" t="s">
        <v>92</v>
      </c>
      <c r="B6" s="6" t="s">
        <v>91</v>
      </c>
      <c r="C6" s="6" t="s">
        <v>93</v>
      </c>
      <c r="D6" s="39" t="s">
        <v>118</v>
      </c>
      <c r="E6" s="40" t="s">
        <v>119</v>
      </c>
      <c r="F6" s="6" t="s">
        <v>269</v>
      </c>
      <c r="G6" s="6" t="s">
        <v>86</v>
      </c>
      <c r="H6" s="6" t="s">
        <v>87</v>
      </c>
      <c r="I6" s="6" t="s">
        <v>0</v>
      </c>
      <c r="J6" s="16" t="s">
        <v>94</v>
      </c>
      <c r="K6" s="17" t="s">
        <v>100</v>
      </c>
      <c r="L6" s="6" t="s">
        <v>95</v>
      </c>
      <c r="M6" s="6" t="s">
        <v>96</v>
      </c>
      <c r="N6" s="6" t="s">
        <v>293</v>
      </c>
      <c r="O6" s="6"/>
      <c r="P6" s="6" t="s">
        <v>105</v>
      </c>
      <c r="Q6" s="6" t="s">
        <v>264</v>
      </c>
      <c r="R6" s="6" t="s">
        <v>262</v>
      </c>
      <c r="S6" s="130" t="s">
        <v>282</v>
      </c>
      <c r="T6" s="21">
        <f>S71</f>
        <v>13500000</v>
      </c>
      <c r="U6" t="s">
        <v>113</v>
      </c>
    </row>
    <row r="7" spans="1:21" x14ac:dyDescent="0.25">
      <c r="A7" s="3" t="s">
        <v>28</v>
      </c>
      <c r="B7" s="9">
        <v>727211</v>
      </c>
      <c r="C7" s="10">
        <f t="shared" ref="C7:C70" si="0">B7/$B$71</f>
        <v>0.12627962108351554</v>
      </c>
      <c r="D7" s="111">
        <v>0.18295492857953743</v>
      </c>
      <c r="E7" s="111">
        <v>0.46250236149387741</v>
      </c>
      <c r="F7" s="112">
        <v>26</v>
      </c>
      <c r="G7" s="15" t="s">
        <v>2</v>
      </c>
      <c r="H7" s="15" t="s">
        <v>2</v>
      </c>
      <c r="I7" s="9">
        <v>19752</v>
      </c>
      <c r="J7" s="18">
        <v>0.14422782037239867</v>
      </c>
      <c r="K7" s="19">
        <f t="shared" ref="K7:K70" si="1">J7*$K$4</f>
        <v>1436724.5923174855</v>
      </c>
      <c r="L7" s="11">
        <v>0.16492613392367508</v>
      </c>
      <c r="M7" s="11">
        <v>0.19479285857049761</v>
      </c>
      <c r="N7" s="21">
        <f t="shared" ref="N7:N70" si="2">IF(SUM(K7,R7,P7)&lt;$N$4,$N$4-SUM(K7,R7,P7),0)</f>
        <v>0</v>
      </c>
      <c r="P7" s="21">
        <f t="shared" ref="P7:P70" si="3">IF(G7="x",$P$4,0)+IF(H7="x",$P$4,0)</f>
        <v>0</v>
      </c>
      <c r="Q7" s="21">
        <f>$Q$4*F7</f>
        <v>0</v>
      </c>
      <c r="R7" s="21">
        <f t="shared" ref="R7:R70" si="4">$R$4*D7</f>
        <v>0</v>
      </c>
      <c r="S7" s="131">
        <f t="shared" ref="S7:S70" si="5">N7+K7+P7+R7+Q7</f>
        <v>1436724.5923174855</v>
      </c>
      <c r="T7" s="109">
        <f t="shared" ref="T7:T70" si="6">S7/$S$71</f>
        <v>0.1064240438753693</v>
      </c>
    </row>
    <row r="8" spans="1:21" x14ac:dyDescent="0.25">
      <c r="A8" s="3" t="s">
        <v>14</v>
      </c>
      <c r="B8" s="9">
        <v>656590</v>
      </c>
      <c r="C8" s="10">
        <f t="shared" si="0"/>
        <v>0.11401633969676679</v>
      </c>
      <c r="D8" s="111">
        <v>0.14263327265394093</v>
      </c>
      <c r="E8" s="111">
        <v>0.39270832188053173</v>
      </c>
      <c r="F8" s="112">
        <v>11</v>
      </c>
      <c r="G8" s="15" t="s">
        <v>2</v>
      </c>
      <c r="H8" s="15" t="s">
        <v>2</v>
      </c>
      <c r="I8" s="9">
        <v>14717</v>
      </c>
      <c r="J8" s="18">
        <v>0.10746257758305951</v>
      </c>
      <c r="K8" s="19">
        <f t="shared" si="1"/>
        <v>1070487.8404787583</v>
      </c>
      <c r="L8" s="11">
        <v>0.11198213748285539</v>
      </c>
      <c r="M8" s="11">
        <v>0.12477423838016069</v>
      </c>
      <c r="N8" s="21">
        <f t="shared" si="2"/>
        <v>0</v>
      </c>
      <c r="P8" s="21">
        <f t="shared" si="3"/>
        <v>0</v>
      </c>
      <c r="Q8" s="21">
        <f t="shared" ref="Q8:Q70" si="7">$Q$4*F8</f>
        <v>0</v>
      </c>
      <c r="R8" s="21">
        <f t="shared" si="4"/>
        <v>0</v>
      </c>
      <c r="S8" s="131">
        <f t="shared" si="5"/>
        <v>1070487.8404787583</v>
      </c>
      <c r="T8" s="48">
        <f t="shared" si="6"/>
        <v>7.9295395591019141E-2</v>
      </c>
    </row>
    <row r="9" spans="1:21" x14ac:dyDescent="0.25">
      <c r="A9" s="3" t="s">
        <v>12</v>
      </c>
      <c r="B9" s="9">
        <v>517421</v>
      </c>
      <c r="C9" s="10">
        <f t="shared" si="0"/>
        <v>8.9849751751078705E-2</v>
      </c>
      <c r="D9" s="111">
        <v>0.1402070477469424</v>
      </c>
      <c r="E9" s="111">
        <v>0.49439868038582624</v>
      </c>
      <c r="F9" s="112">
        <v>12</v>
      </c>
      <c r="G9" s="15" t="s">
        <v>2</v>
      </c>
      <c r="H9" s="15" t="s">
        <v>2</v>
      </c>
      <c r="I9" s="9">
        <v>7572</v>
      </c>
      <c r="J9" s="18">
        <v>5.5290251916757939E-2</v>
      </c>
      <c r="K9" s="19">
        <f t="shared" si="1"/>
        <v>550773.5223282706</v>
      </c>
      <c r="L9" s="11">
        <v>6.5849593703867157E-2</v>
      </c>
      <c r="M9" s="11">
        <v>6.6864246443753925E-2</v>
      </c>
      <c r="N9" s="21">
        <f t="shared" si="2"/>
        <v>0</v>
      </c>
      <c r="P9" s="21">
        <f t="shared" si="3"/>
        <v>0</v>
      </c>
      <c r="Q9" s="21">
        <f t="shared" si="7"/>
        <v>0</v>
      </c>
      <c r="R9" s="21">
        <f t="shared" si="4"/>
        <v>0</v>
      </c>
      <c r="S9" s="131">
        <f t="shared" si="5"/>
        <v>550773.5223282706</v>
      </c>
      <c r="T9" s="48">
        <f t="shared" si="6"/>
        <v>4.0798038690983009E-2</v>
      </c>
    </row>
    <row r="10" spans="1:21" x14ac:dyDescent="0.25">
      <c r="A10" s="3" t="s">
        <v>33</v>
      </c>
      <c r="B10" s="9">
        <v>720403</v>
      </c>
      <c r="C10" s="10">
        <f t="shared" si="0"/>
        <v>0.12509741721099907</v>
      </c>
      <c r="D10" s="111">
        <v>0.1198890542628937</v>
      </c>
      <c r="E10" s="111">
        <v>0.30539284141753359</v>
      </c>
      <c r="F10" s="112">
        <v>7</v>
      </c>
      <c r="G10" s="15" t="s">
        <v>2</v>
      </c>
      <c r="H10" s="15" t="s">
        <v>2</v>
      </c>
      <c r="I10" s="9">
        <v>13592</v>
      </c>
      <c r="J10" s="18">
        <v>9.9247900693683833E-2</v>
      </c>
      <c r="K10" s="19">
        <f t="shared" si="1"/>
        <v>988657.38450684818</v>
      </c>
      <c r="L10" s="11">
        <v>9.7633597139332631E-2</v>
      </c>
      <c r="M10" s="11">
        <v>8.8486830317591303E-2</v>
      </c>
      <c r="N10" s="21">
        <f t="shared" si="2"/>
        <v>0</v>
      </c>
      <c r="P10" s="21">
        <f t="shared" si="3"/>
        <v>0</v>
      </c>
      <c r="Q10" s="21">
        <f t="shared" si="7"/>
        <v>0</v>
      </c>
      <c r="R10" s="21">
        <f t="shared" si="4"/>
        <v>0</v>
      </c>
      <c r="S10" s="131">
        <f t="shared" si="5"/>
        <v>988657.38450684818</v>
      </c>
      <c r="T10" s="48">
        <f t="shared" si="6"/>
        <v>7.3233880333840609E-2</v>
      </c>
    </row>
    <row r="11" spans="1:21" x14ac:dyDescent="0.25">
      <c r="A11" s="3" t="s">
        <v>4</v>
      </c>
      <c r="B11" s="9">
        <v>582881</v>
      </c>
      <c r="C11" s="10">
        <f t="shared" si="0"/>
        <v>0.10121682952647942</v>
      </c>
      <c r="D11" s="111">
        <v>7.048716747797544E-2</v>
      </c>
      <c r="E11" s="111">
        <v>0.21660790951339962</v>
      </c>
      <c r="F11" s="112">
        <v>2</v>
      </c>
      <c r="G11" s="15" t="s">
        <v>2</v>
      </c>
      <c r="H11" s="15" t="s">
        <v>2</v>
      </c>
      <c r="I11" s="9">
        <v>14265</v>
      </c>
      <c r="J11" s="18">
        <v>0.10416210295728368</v>
      </c>
      <c r="K11" s="19">
        <f t="shared" si="1"/>
        <v>1037610.1817238219</v>
      </c>
      <c r="L11" s="11">
        <v>9.4832170136431276E-2</v>
      </c>
      <c r="M11" s="11">
        <v>9.7959639538832258E-2</v>
      </c>
      <c r="N11" s="21">
        <f t="shared" si="2"/>
        <v>0</v>
      </c>
      <c r="P11" s="21">
        <f t="shared" si="3"/>
        <v>0</v>
      </c>
      <c r="Q11" s="21">
        <f t="shared" si="7"/>
        <v>0</v>
      </c>
      <c r="R11" s="21">
        <f t="shared" si="4"/>
        <v>0</v>
      </c>
      <c r="S11" s="131">
        <f t="shared" si="5"/>
        <v>1037610.1817238219</v>
      </c>
      <c r="T11" s="48">
        <f t="shared" si="6"/>
        <v>7.6860013461023849E-2</v>
      </c>
    </row>
    <row r="12" spans="1:21" x14ac:dyDescent="0.25">
      <c r="A12" s="3" t="s">
        <v>66</v>
      </c>
      <c r="B12" s="9">
        <v>324492</v>
      </c>
      <c r="C12" s="10">
        <f t="shared" si="0"/>
        <v>5.6347781874355761E-2</v>
      </c>
      <c r="D12" s="111">
        <v>5.7224223000475208E-2</v>
      </c>
      <c r="E12" s="111">
        <v>0.33989218054844927</v>
      </c>
      <c r="F12" s="112">
        <v>7</v>
      </c>
      <c r="G12" s="15" t="s">
        <v>2</v>
      </c>
      <c r="H12" s="15" t="s">
        <v>2</v>
      </c>
      <c r="I12" s="9">
        <v>5116</v>
      </c>
      <c r="J12" s="18">
        <v>3.7356699525374223E-2</v>
      </c>
      <c r="K12" s="19">
        <f t="shared" si="1"/>
        <v>372128.54466870474</v>
      </c>
      <c r="L12" s="11">
        <v>4.1851297161815418E-2</v>
      </c>
      <c r="M12" s="11">
        <v>4.1265269098272959E-2</v>
      </c>
      <c r="N12" s="21">
        <f t="shared" si="2"/>
        <v>0</v>
      </c>
      <c r="P12" s="21">
        <f t="shared" si="3"/>
        <v>0</v>
      </c>
      <c r="Q12" s="21">
        <f t="shared" si="7"/>
        <v>0</v>
      </c>
      <c r="R12" s="21">
        <f t="shared" si="4"/>
        <v>0</v>
      </c>
      <c r="S12" s="131">
        <f t="shared" si="5"/>
        <v>372128.54466870474</v>
      </c>
      <c r="T12" s="48">
        <f t="shared" si="6"/>
        <v>2.7565077382867016E-2</v>
      </c>
    </row>
    <row r="13" spans="1:21" x14ac:dyDescent="0.25">
      <c r="A13" s="3" t="s">
        <v>56</v>
      </c>
      <c r="B13" s="9">
        <v>168424</v>
      </c>
      <c r="C13" s="10">
        <f t="shared" si="0"/>
        <v>2.9246695802690036E-2</v>
      </c>
      <c r="D13" s="111">
        <v>4.4854069959479249E-2</v>
      </c>
      <c r="E13" s="111">
        <v>0.47743267449980265</v>
      </c>
      <c r="F13" s="112">
        <v>3</v>
      </c>
      <c r="G13" s="15" t="s">
        <v>2</v>
      </c>
      <c r="H13" s="15" t="s">
        <v>2</v>
      </c>
      <c r="I13" s="9">
        <v>2377</v>
      </c>
      <c r="J13" s="18">
        <v>1.7356699525374223E-2</v>
      </c>
      <c r="K13" s="19">
        <f t="shared" si="1"/>
        <v>172898.66119576059</v>
      </c>
      <c r="L13" s="11">
        <v>2.1317015665389471E-2</v>
      </c>
      <c r="M13" s="11">
        <v>1.6737254070452214E-2</v>
      </c>
      <c r="N13" s="21">
        <f t="shared" si="2"/>
        <v>0</v>
      </c>
      <c r="P13" s="21">
        <f t="shared" si="3"/>
        <v>0</v>
      </c>
      <c r="Q13" s="21">
        <f t="shared" si="7"/>
        <v>0</v>
      </c>
      <c r="R13" s="21">
        <f t="shared" si="4"/>
        <v>0</v>
      </c>
      <c r="S13" s="131">
        <f t="shared" si="5"/>
        <v>172898.66119576059</v>
      </c>
      <c r="T13" s="48">
        <f t="shared" si="6"/>
        <v>1.2807308236723007E-2</v>
      </c>
    </row>
    <row r="14" spans="1:21" x14ac:dyDescent="0.25">
      <c r="A14" s="3" t="s">
        <v>18</v>
      </c>
      <c r="B14" s="9">
        <v>326196</v>
      </c>
      <c r="C14" s="10">
        <f t="shared" si="0"/>
        <v>5.6643680140919812E-2</v>
      </c>
      <c r="D14" s="111">
        <v>4.0633134599290674E-2</v>
      </c>
      <c r="E14" s="111">
        <v>0.22187023019655483</v>
      </c>
      <c r="F14" s="112">
        <v>5</v>
      </c>
      <c r="G14" s="15" t="s">
        <v>2</v>
      </c>
      <c r="H14" s="15" t="s">
        <v>2</v>
      </c>
      <c r="I14" s="9">
        <v>10752</v>
      </c>
      <c r="J14" s="18">
        <v>7.8510405257393209E-2</v>
      </c>
      <c r="K14" s="19">
        <f t="shared" si="1"/>
        <v>782080.94454220356</v>
      </c>
      <c r="L14" s="11">
        <v>7.7827329793979133E-2</v>
      </c>
      <c r="M14" s="11">
        <v>8.2532602397147908E-2</v>
      </c>
      <c r="N14" s="21">
        <f t="shared" si="2"/>
        <v>0</v>
      </c>
      <c r="P14" s="21">
        <f t="shared" si="3"/>
        <v>0</v>
      </c>
      <c r="Q14" s="21">
        <f t="shared" si="7"/>
        <v>0</v>
      </c>
      <c r="R14" s="21">
        <f t="shared" si="4"/>
        <v>0</v>
      </c>
      <c r="S14" s="131">
        <f t="shared" si="5"/>
        <v>782080.94454220356</v>
      </c>
      <c r="T14" s="48">
        <f t="shared" si="6"/>
        <v>5.7931921817941004E-2</v>
      </c>
    </row>
    <row r="15" spans="1:21" x14ac:dyDescent="0.25">
      <c r="A15" s="3" t="s">
        <v>44</v>
      </c>
      <c r="B15" s="9">
        <v>356899</v>
      </c>
      <c r="C15" s="10">
        <f t="shared" si="0"/>
        <v>6.1975232064814222E-2</v>
      </c>
      <c r="D15" s="111">
        <v>3.3109726634678302E-2</v>
      </c>
      <c r="E15" s="111">
        <v>0.17163126439772772</v>
      </c>
      <c r="F15" s="112">
        <v>3</v>
      </c>
      <c r="G15" s="15" t="s">
        <v>2</v>
      </c>
      <c r="H15" s="15" t="s">
        <v>2</v>
      </c>
      <c r="I15" s="9">
        <v>9079</v>
      </c>
      <c r="J15" s="18">
        <v>6.6294267981014968E-2</v>
      </c>
      <c r="K15" s="19">
        <f t="shared" si="1"/>
        <v>660389.96423908731</v>
      </c>
      <c r="L15" s="11">
        <v>6.9348106152076441E-2</v>
      </c>
      <c r="M15" s="11">
        <v>6.1009733173723837E-2</v>
      </c>
      <c r="N15" s="21">
        <f t="shared" si="2"/>
        <v>0</v>
      </c>
      <c r="P15" s="21">
        <f t="shared" si="3"/>
        <v>0</v>
      </c>
      <c r="Q15" s="21">
        <f t="shared" si="7"/>
        <v>0</v>
      </c>
      <c r="R15" s="21">
        <f t="shared" si="4"/>
        <v>0</v>
      </c>
      <c r="S15" s="131">
        <f t="shared" si="5"/>
        <v>660389.96423908731</v>
      </c>
      <c r="T15" s="48">
        <f t="shared" si="6"/>
        <v>4.8917775128821284E-2</v>
      </c>
    </row>
    <row r="16" spans="1:21" x14ac:dyDescent="0.25">
      <c r="A16" s="3" t="s">
        <v>30</v>
      </c>
      <c r="B16" s="9">
        <v>351154</v>
      </c>
      <c r="C16" s="10">
        <f t="shared" si="0"/>
        <v>6.0977617310465353E-2</v>
      </c>
      <c r="D16" s="10">
        <v>3.2325895686590847E-2</v>
      </c>
      <c r="E16" s="10">
        <v>0.1724363538984949</v>
      </c>
      <c r="F16" s="15">
        <v>0</v>
      </c>
      <c r="G16" s="15" t="s">
        <v>2</v>
      </c>
      <c r="H16" s="15" t="s">
        <v>2</v>
      </c>
      <c r="I16" s="9">
        <v>7436</v>
      </c>
      <c r="J16" s="18">
        <v>5.4297188755020077E-2</v>
      </c>
      <c r="K16" s="19">
        <f t="shared" si="1"/>
        <v>540881.12942855526</v>
      </c>
      <c r="L16" s="11">
        <v>4.5129739972854112E-2</v>
      </c>
      <c r="M16" s="11">
        <v>4.786542667109011E-2</v>
      </c>
      <c r="N16" s="21">
        <f t="shared" si="2"/>
        <v>0</v>
      </c>
      <c r="P16" s="21">
        <f t="shared" si="3"/>
        <v>0</v>
      </c>
      <c r="Q16" s="21">
        <f t="shared" si="7"/>
        <v>0</v>
      </c>
      <c r="R16" s="21">
        <f t="shared" si="4"/>
        <v>0</v>
      </c>
      <c r="S16" s="131">
        <f t="shared" si="5"/>
        <v>540881.12942855526</v>
      </c>
      <c r="T16" s="48">
        <f t="shared" si="6"/>
        <v>4.006526884655965E-2</v>
      </c>
    </row>
    <row r="17" spans="1:20" x14ac:dyDescent="0.25">
      <c r="A17" s="3" t="s">
        <v>46</v>
      </c>
      <c r="B17" s="9">
        <v>154210</v>
      </c>
      <c r="C17" s="10">
        <f t="shared" si="0"/>
        <v>2.6778445825611733E-2</v>
      </c>
      <c r="D17" s="10">
        <v>1.5797559399154216E-2</v>
      </c>
      <c r="E17" s="10">
        <v>0.18461579487726504</v>
      </c>
      <c r="F17" s="15">
        <v>0</v>
      </c>
      <c r="G17" s="15" t="s">
        <v>2</v>
      </c>
      <c r="H17" s="15" t="s">
        <v>2</v>
      </c>
      <c r="I17" s="9">
        <v>3625</v>
      </c>
      <c r="J17" s="18">
        <v>2.6469514421321651E-2</v>
      </c>
      <c r="K17" s="19">
        <f t="shared" si="1"/>
        <v>263675.91368726635</v>
      </c>
      <c r="L17" s="11">
        <v>2.6686714812351974E-2</v>
      </c>
      <c r="M17" s="11">
        <v>2.3361879301071583E-2</v>
      </c>
      <c r="N17" s="21">
        <f t="shared" si="2"/>
        <v>0</v>
      </c>
      <c r="P17" s="21">
        <f t="shared" si="3"/>
        <v>0</v>
      </c>
      <c r="Q17" s="21">
        <f t="shared" si="7"/>
        <v>0</v>
      </c>
      <c r="R17" s="21">
        <f t="shared" si="4"/>
        <v>0</v>
      </c>
      <c r="S17" s="131">
        <f t="shared" si="5"/>
        <v>263675.91368726635</v>
      </c>
      <c r="T17" s="48">
        <f t="shared" si="6"/>
        <v>1.953154916201973E-2</v>
      </c>
    </row>
    <row r="18" spans="1:20" x14ac:dyDescent="0.25">
      <c r="A18" s="3" t="s">
        <v>35</v>
      </c>
      <c r="B18" s="9">
        <v>60061</v>
      </c>
      <c r="C18" s="10">
        <f t="shared" si="0"/>
        <v>1.0429545650295481E-2</v>
      </c>
      <c r="D18" s="10">
        <v>1.0530945634421017E-2</v>
      </c>
      <c r="E18" s="10">
        <v>0.31535071235778467</v>
      </c>
      <c r="F18" s="15">
        <v>0</v>
      </c>
      <c r="G18" s="15" t="s">
        <v>2</v>
      </c>
      <c r="H18" s="15" t="s">
        <v>2</v>
      </c>
      <c r="I18" s="9">
        <v>2135</v>
      </c>
      <c r="J18" s="18">
        <v>1.5589631252281855E-2</v>
      </c>
      <c r="K18" s="19">
        <f t="shared" si="1"/>
        <v>155296.02088891412</v>
      </c>
      <c r="L18" s="11">
        <v>1.4561472587055384E-2</v>
      </c>
      <c r="M18" s="11">
        <v>1.4413982531578554E-2</v>
      </c>
      <c r="N18" s="21">
        <f t="shared" si="2"/>
        <v>0</v>
      </c>
      <c r="P18" s="21">
        <f t="shared" si="3"/>
        <v>0</v>
      </c>
      <c r="Q18" s="21">
        <f t="shared" si="7"/>
        <v>0</v>
      </c>
      <c r="R18" s="21">
        <f t="shared" si="4"/>
        <v>0</v>
      </c>
      <c r="S18" s="131">
        <f t="shared" si="5"/>
        <v>155296.02088891412</v>
      </c>
      <c r="T18" s="48">
        <f t="shared" si="6"/>
        <v>1.150340895473438E-2</v>
      </c>
    </row>
    <row r="19" spans="1:20" x14ac:dyDescent="0.25">
      <c r="A19" s="3" t="s">
        <v>31</v>
      </c>
      <c r="B19" s="9">
        <v>55127</v>
      </c>
      <c r="C19" s="10">
        <f t="shared" si="0"/>
        <v>9.5727604113124819E-3</v>
      </c>
      <c r="D19" s="10">
        <v>1.0186379482568888E-2</v>
      </c>
      <c r="E19" s="10">
        <v>0.32849495005243112</v>
      </c>
      <c r="F19" s="15">
        <v>0</v>
      </c>
      <c r="G19" s="15" t="s">
        <v>2</v>
      </c>
      <c r="H19" s="15" t="s">
        <v>2</v>
      </c>
      <c r="I19" s="9">
        <v>3134</v>
      </c>
      <c r="J19" s="18">
        <v>2.2884264330047463E-2</v>
      </c>
      <c r="K19" s="19">
        <f t="shared" si="1"/>
        <v>227961.46579197043</v>
      </c>
      <c r="L19" s="11">
        <v>1.9476757672400768E-2</v>
      </c>
      <c r="M19" s="11">
        <v>1.8906976607212734E-2</v>
      </c>
      <c r="N19" s="21">
        <f t="shared" si="2"/>
        <v>0</v>
      </c>
      <c r="P19" s="21">
        <f t="shared" si="3"/>
        <v>0</v>
      </c>
      <c r="Q19" s="21">
        <f t="shared" si="7"/>
        <v>0</v>
      </c>
      <c r="R19" s="21">
        <f t="shared" si="4"/>
        <v>0</v>
      </c>
      <c r="S19" s="131">
        <f t="shared" si="5"/>
        <v>227961.46579197043</v>
      </c>
      <c r="T19" s="48">
        <f t="shared" si="6"/>
        <v>1.688603450310892E-2</v>
      </c>
    </row>
    <row r="20" spans="1:20" x14ac:dyDescent="0.25">
      <c r="A20" s="3" t="s">
        <v>19</v>
      </c>
      <c r="B20" s="9">
        <v>70465</v>
      </c>
      <c r="C20" s="10">
        <f t="shared" si="0"/>
        <v>1.223619210882388E-2</v>
      </c>
      <c r="D20" s="10">
        <v>8.6278451665754863E-3</v>
      </c>
      <c r="E20" s="10">
        <v>0.22873563218390805</v>
      </c>
      <c r="F20" s="15">
        <v>0</v>
      </c>
      <c r="G20" s="15" t="s">
        <v>2</v>
      </c>
      <c r="H20" s="15" t="s">
        <v>2</v>
      </c>
      <c r="I20" s="9">
        <v>1587</v>
      </c>
      <c r="J20" s="18">
        <v>1.15881708652793E-2</v>
      </c>
      <c r="K20" s="19">
        <f t="shared" si="1"/>
        <v>115435.49655770807</v>
      </c>
      <c r="L20" s="11">
        <v>1.1573283783960612E-2</v>
      </c>
      <c r="M20" s="11">
        <v>1.2044142627124069E-2</v>
      </c>
      <c r="N20" s="21">
        <f t="shared" si="2"/>
        <v>0</v>
      </c>
      <c r="P20" s="21">
        <f t="shared" si="3"/>
        <v>0</v>
      </c>
      <c r="Q20" s="21">
        <f t="shared" si="7"/>
        <v>0</v>
      </c>
      <c r="R20" s="21">
        <f t="shared" si="4"/>
        <v>0</v>
      </c>
      <c r="S20" s="131">
        <f t="shared" si="5"/>
        <v>115435.49655770807</v>
      </c>
      <c r="T20" s="48">
        <f t="shared" si="6"/>
        <v>8.5507775227931914E-3</v>
      </c>
    </row>
    <row r="21" spans="1:20" x14ac:dyDescent="0.25">
      <c r="A21" s="3" t="s">
        <v>43</v>
      </c>
      <c r="B21" s="9">
        <v>56221</v>
      </c>
      <c r="C21" s="10">
        <f t="shared" si="0"/>
        <v>9.7627326552215624E-3</v>
      </c>
      <c r="D21" s="10">
        <v>6.6853820091971779E-3</v>
      </c>
      <c r="E21" s="10">
        <v>0.2126821654779405</v>
      </c>
      <c r="F21" s="15">
        <v>0</v>
      </c>
      <c r="G21" s="15" t="s">
        <v>2</v>
      </c>
      <c r="H21" s="15" t="s">
        <v>2</v>
      </c>
      <c r="I21" s="9">
        <v>2118</v>
      </c>
      <c r="J21" s="18">
        <v>1.5465498357064622E-2</v>
      </c>
      <c r="K21" s="19">
        <f t="shared" si="1"/>
        <v>154059.4717764497</v>
      </c>
      <c r="L21" s="11">
        <v>1.3819183648707002E-2</v>
      </c>
      <c r="M21" s="11">
        <v>1.2151453535752697E-2</v>
      </c>
      <c r="N21" s="21">
        <f t="shared" si="2"/>
        <v>0</v>
      </c>
      <c r="P21" s="21">
        <f t="shared" si="3"/>
        <v>0</v>
      </c>
      <c r="Q21" s="21">
        <f t="shared" si="7"/>
        <v>0</v>
      </c>
      <c r="R21" s="21">
        <f t="shared" si="4"/>
        <v>0</v>
      </c>
      <c r="S21" s="131">
        <f t="shared" si="5"/>
        <v>154059.4717764497</v>
      </c>
      <c r="T21" s="48">
        <f t="shared" si="6"/>
        <v>1.141181272418146E-2</v>
      </c>
    </row>
    <row r="22" spans="1:20" x14ac:dyDescent="0.25">
      <c r="A22" s="3" t="s">
        <v>5</v>
      </c>
      <c r="B22" s="9">
        <v>29068</v>
      </c>
      <c r="C22" s="10">
        <f t="shared" si="0"/>
        <v>5.047635453335593E-3</v>
      </c>
      <c r="D22" s="10">
        <v>6.6540059523232256E-3</v>
      </c>
      <c r="E22" s="10">
        <v>0.41278267331988533</v>
      </c>
      <c r="F22" s="15">
        <v>0</v>
      </c>
      <c r="G22" s="15" t="s">
        <v>2</v>
      </c>
      <c r="H22" s="15" t="s">
        <v>2</v>
      </c>
      <c r="I22" s="9">
        <v>559</v>
      </c>
      <c r="J22" s="18">
        <v>4.0817816721431177E-3</v>
      </c>
      <c r="K22" s="19">
        <f t="shared" si="1"/>
        <v>40660.644345153625</v>
      </c>
      <c r="L22" s="11">
        <v>3.9445995505821138E-3</v>
      </c>
      <c r="M22" s="11">
        <v>3.1373922562973116E-3</v>
      </c>
      <c r="N22" s="21">
        <f t="shared" si="2"/>
        <v>59339.355654846375</v>
      </c>
      <c r="O22" s="21"/>
      <c r="P22" s="21">
        <f t="shared" si="3"/>
        <v>0</v>
      </c>
      <c r="Q22" s="21">
        <f t="shared" si="7"/>
        <v>0</v>
      </c>
      <c r="R22" s="21">
        <f t="shared" si="4"/>
        <v>0</v>
      </c>
      <c r="S22" s="131">
        <f t="shared" si="5"/>
        <v>100000</v>
      </c>
      <c r="T22" s="48">
        <f t="shared" si="6"/>
        <v>7.4074074074074077E-3</v>
      </c>
    </row>
    <row r="23" spans="1:20" x14ac:dyDescent="0.25">
      <c r="A23" s="3" t="s">
        <v>50</v>
      </c>
      <c r="B23" s="9">
        <v>42758</v>
      </c>
      <c r="C23" s="10">
        <f t="shared" si="0"/>
        <v>7.4248932404611008E-3</v>
      </c>
      <c r="D23" s="10">
        <v>5.6328579195164211E-3</v>
      </c>
      <c r="E23" s="10">
        <v>0.23926529029756713</v>
      </c>
      <c r="F23" s="15">
        <v>0</v>
      </c>
      <c r="G23" s="15" t="s">
        <v>2</v>
      </c>
      <c r="H23" s="15" t="s">
        <v>2</v>
      </c>
      <c r="I23" s="9">
        <v>1091</v>
      </c>
      <c r="J23" s="18">
        <v>7.9664110989412194E-3</v>
      </c>
      <c r="K23" s="19">
        <f t="shared" si="1"/>
        <v>79357.357746981404</v>
      </c>
      <c r="L23" s="11">
        <v>8.1128374351538048E-3</v>
      </c>
      <c r="M23" s="11">
        <v>6.9558055752021583E-3</v>
      </c>
      <c r="N23" s="21">
        <f t="shared" si="2"/>
        <v>20642.642253018596</v>
      </c>
      <c r="P23" s="21">
        <f t="shared" si="3"/>
        <v>0</v>
      </c>
      <c r="Q23" s="21">
        <f t="shared" si="7"/>
        <v>0</v>
      </c>
      <c r="R23" s="21">
        <f t="shared" si="4"/>
        <v>0</v>
      </c>
      <c r="S23" s="131">
        <f t="shared" si="5"/>
        <v>100000</v>
      </c>
      <c r="T23" s="48">
        <f t="shared" si="6"/>
        <v>7.4074074074074077E-3</v>
      </c>
    </row>
    <row r="24" spans="1:20" x14ac:dyDescent="0.25">
      <c r="A24" s="3" t="s">
        <v>34</v>
      </c>
      <c r="B24" s="9">
        <v>47839</v>
      </c>
      <c r="C24" s="10">
        <f t="shared" si="0"/>
        <v>8.3072049144117741E-3</v>
      </c>
      <c r="D24" s="10">
        <v>5.5780924384273411E-3</v>
      </c>
      <c r="E24" s="10">
        <v>0.20803370069358751</v>
      </c>
      <c r="F24" s="15">
        <v>0</v>
      </c>
      <c r="G24" s="15" t="s">
        <v>2</v>
      </c>
      <c r="H24" s="15" t="s">
        <v>2</v>
      </c>
      <c r="I24" s="9">
        <v>732</v>
      </c>
      <c r="J24" s="18">
        <v>5.3450164293537784E-3</v>
      </c>
      <c r="K24" s="19">
        <f t="shared" si="1"/>
        <v>53244.35001905627</v>
      </c>
      <c r="L24" s="11">
        <v>5.1972121340450109E-3</v>
      </c>
      <c r="M24" s="11">
        <v>3.2605837482238931E-3</v>
      </c>
      <c r="N24" s="21">
        <f t="shared" si="2"/>
        <v>46755.64998094373</v>
      </c>
      <c r="P24" s="21">
        <f t="shared" si="3"/>
        <v>0</v>
      </c>
      <c r="Q24" s="21">
        <f t="shared" si="7"/>
        <v>0</v>
      </c>
      <c r="R24" s="21">
        <f t="shared" si="4"/>
        <v>0</v>
      </c>
      <c r="S24" s="131">
        <f t="shared" si="5"/>
        <v>100000</v>
      </c>
      <c r="T24" s="48">
        <f t="shared" si="6"/>
        <v>7.4074074074074077E-3</v>
      </c>
    </row>
    <row r="25" spans="1:20" x14ac:dyDescent="0.25">
      <c r="A25" s="3" t="s">
        <v>13</v>
      </c>
      <c r="B25" s="9">
        <v>16233</v>
      </c>
      <c r="C25" s="10">
        <f t="shared" si="0"/>
        <v>2.8188477471445123E-3</v>
      </c>
      <c r="D25" s="10">
        <v>4.8513088664743406E-3</v>
      </c>
      <c r="E25" s="10">
        <v>0.51714911213816595</v>
      </c>
      <c r="F25" s="15">
        <v>0</v>
      </c>
      <c r="G25" s="15" t="s">
        <v>88</v>
      </c>
      <c r="H25" s="15" t="s">
        <v>88</v>
      </c>
      <c r="I25" s="9">
        <v>395</v>
      </c>
      <c r="J25" s="18">
        <v>2.8842643300474625E-3</v>
      </c>
      <c r="K25" s="19">
        <f t="shared" si="1"/>
        <v>28731.582319026267</v>
      </c>
      <c r="L25" s="11">
        <v>3.694790773253331E-3</v>
      </c>
      <c r="M25" s="11">
        <v>2.6538463846131955E-3</v>
      </c>
      <c r="N25" s="21">
        <f t="shared" si="2"/>
        <v>11268.41768097374</v>
      </c>
      <c r="O25" s="21"/>
      <c r="P25" s="21">
        <f t="shared" si="3"/>
        <v>60000</v>
      </c>
      <c r="Q25" s="21">
        <f t="shared" si="7"/>
        <v>0</v>
      </c>
      <c r="R25" s="21">
        <f t="shared" si="4"/>
        <v>0</v>
      </c>
      <c r="S25" s="131">
        <f t="shared" si="5"/>
        <v>100000</v>
      </c>
      <c r="T25" s="48">
        <f t="shared" si="6"/>
        <v>7.4074074074074077E-3</v>
      </c>
    </row>
    <row r="26" spans="1:20" x14ac:dyDescent="0.25">
      <c r="A26" s="3" t="s">
        <v>51</v>
      </c>
      <c r="B26" s="9">
        <v>18278</v>
      </c>
      <c r="C26" s="10">
        <f t="shared" si="0"/>
        <v>3.1739603968648678E-3</v>
      </c>
      <c r="D26" s="10">
        <v>4.8267784947365238E-3</v>
      </c>
      <c r="E26" s="10">
        <v>0.46171896316507505</v>
      </c>
      <c r="F26" s="15">
        <v>0</v>
      </c>
      <c r="G26" s="15" t="s">
        <v>88</v>
      </c>
      <c r="H26" s="15" t="s">
        <v>89</v>
      </c>
      <c r="I26" s="9">
        <v>326</v>
      </c>
      <c r="J26" s="18">
        <v>2.3804308141657541E-3</v>
      </c>
      <c r="K26" s="19">
        <f t="shared" si="1"/>
        <v>23712.64768608244</v>
      </c>
      <c r="L26" s="11">
        <v>2.3957851311436603E-3</v>
      </c>
      <c r="M26" s="11">
        <v>1.5812051837966969E-3</v>
      </c>
      <c r="N26" s="21">
        <f t="shared" si="2"/>
        <v>46287.35231391756</v>
      </c>
      <c r="O26" s="21"/>
      <c r="P26" s="21">
        <f t="shared" si="3"/>
        <v>30000</v>
      </c>
      <c r="Q26" s="21">
        <f t="shared" si="7"/>
        <v>0</v>
      </c>
      <c r="R26" s="21">
        <f t="shared" si="4"/>
        <v>0</v>
      </c>
      <c r="S26" s="131">
        <f t="shared" si="5"/>
        <v>100000</v>
      </c>
      <c r="T26" s="48">
        <f t="shared" si="6"/>
        <v>7.4074074074074077E-3</v>
      </c>
    </row>
    <row r="27" spans="1:20" x14ac:dyDescent="0.25">
      <c r="A27" s="3" t="s">
        <v>49</v>
      </c>
      <c r="B27" s="9">
        <v>26183</v>
      </c>
      <c r="C27" s="10">
        <f t="shared" si="0"/>
        <v>4.5466574609428177E-3</v>
      </c>
      <c r="D27" s="10">
        <v>4.0400951778423429E-3</v>
      </c>
      <c r="E27" s="10">
        <v>0.27334130996950867</v>
      </c>
      <c r="F27" s="15">
        <v>0</v>
      </c>
      <c r="G27" s="15" t="s">
        <v>2</v>
      </c>
      <c r="H27" s="15" t="s">
        <v>2</v>
      </c>
      <c r="I27" s="9">
        <v>642</v>
      </c>
      <c r="J27" s="18">
        <v>4.6878422782037242E-3</v>
      </c>
      <c r="K27" s="19">
        <f t="shared" si="1"/>
        <v>46697.913541303453</v>
      </c>
      <c r="L27" s="11">
        <v>4.8141720088075435E-3</v>
      </c>
      <c r="M27" s="11">
        <v>3.5541405965011305E-3</v>
      </c>
      <c r="N27" s="21">
        <f t="shared" si="2"/>
        <v>53302.086458696547</v>
      </c>
      <c r="O27" s="21"/>
      <c r="P27" s="21">
        <f t="shared" si="3"/>
        <v>0</v>
      </c>
      <c r="Q27" s="21">
        <f t="shared" si="7"/>
        <v>0</v>
      </c>
      <c r="R27" s="21">
        <f t="shared" si="4"/>
        <v>0</v>
      </c>
      <c r="S27" s="131">
        <f t="shared" si="5"/>
        <v>100000</v>
      </c>
      <c r="T27" s="48">
        <f t="shared" si="6"/>
        <v>7.4074074074074077E-3</v>
      </c>
    </row>
    <row r="28" spans="1:20" x14ac:dyDescent="0.25">
      <c r="A28" s="3" t="s">
        <v>45</v>
      </c>
      <c r="B28" s="9">
        <v>14506</v>
      </c>
      <c r="C28" s="10">
        <f t="shared" si="0"/>
        <v>2.5189555485787157E-3</v>
      </c>
      <c r="D28" s="10">
        <v>3.8267379910994683E-3</v>
      </c>
      <c r="E28" s="10">
        <v>0.47309401227166936</v>
      </c>
      <c r="F28" s="15">
        <v>0</v>
      </c>
      <c r="G28" s="15" t="s">
        <v>88</v>
      </c>
      <c r="H28" s="15" t="s">
        <v>88</v>
      </c>
      <c r="I28" s="9">
        <v>312</v>
      </c>
      <c r="J28" s="18">
        <v>2.2782037239868565E-3</v>
      </c>
      <c r="K28" s="19">
        <f t="shared" si="1"/>
        <v>22694.313122876443</v>
      </c>
      <c r="L28" s="11">
        <v>2.1769050595793933E-3</v>
      </c>
      <c r="M28" s="11">
        <v>1.3492165588080568E-3</v>
      </c>
      <c r="N28" s="21">
        <f t="shared" si="2"/>
        <v>17305.68687712356</v>
      </c>
      <c r="O28" s="21"/>
      <c r="P28" s="21">
        <f t="shared" si="3"/>
        <v>60000</v>
      </c>
      <c r="Q28" s="21">
        <f t="shared" si="7"/>
        <v>0</v>
      </c>
      <c r="R28" s="21">
        <f t="shared" si="4"/>
        <v>0</v>
      </c>
      <c r="S28" s="131">
        <f t="shared" si="5"/>
        <v>100000</v>
      </c>
      <c r="T28" s="48">
        <f t="shared" si="6"/>
        <v>7.4074074074074077E-3</v>
      </c>
    </row>
    <row r="29" spans="1:20" x14ac:dyDescent="0.25">
      <c r="A29" s="3" t="s">
        <v>27</v>
      </c>
      <c r="B29" s="9">
        <v>31162</v>
      </c>
      <c r="C29" s="10">
        <f t="shared" si="0"/>
        <v>5.4112569147118398E-3</v>
      </c>
      <c r="D29" s="10">
        <v>3.2157605926994193E-3</v>
      </c>
      <c r="E29" s="10">
        <v>0.1857575957292559</v>
      </c>
      <c r="F29" s="15">
        <v>0</v>
      </c>
      <c r="G29" s="15" t="s">
        <v>2</v>
      </c>
      <c r="H29" s="15" t="s">
        <v>2</v>
      </c>
      <c r="I29" s="9">
        <v>730</v>
      </c>
      <c r="J29" s="18">
        <v>5.3304125593282223E-3</v>
      </c>
      <c r="K29" s="19">
        <f t="shared" si="1"/>
        <v>53098.873652883987</v>
      </c>
      <c r="L29" s="11">
        <v>4.5833962811800012E-3</v>
      </c>
      <c r="M29" s="11">
        <v>3.0780808923335534E-3</v>
      </c>
      <c r="N29" s="21">
        <f t="shared" si="2"/>
        <v>46901.126347116013</v>
      </c>
      <c r="P29" s="21">
        <f t="shared" si="3"/>
        <v>0</v>
      </c>
      <c r="Q29" s="21">
        <f t="shared" si="7"/>
        <v>0</v>
      </c>
      <c r="R29" s="21">
        <f t="shared" si="4"/>
        <v>0</v>
      </c>
      <c r="S29" s="131">
        <f t="shared" si="5"/>
        <v>100000</v>
      </c>
      <c r="T29" s="48">
        <f t="shared" si="6"/>
        <v>7.4074074074074077E-3</v>
      </c>
    </row>
    <row r="30" spans="1:20" x14ac:dyDescent="0.25">
      <c r="A30" s="3" t="s">
        <v>58</v>
      </c>
      <c r="B30" s="9">
        <v>11267</v>
      </c>
      <c r="C30" s="10">
        <f t="shared" si="0"/>
        <v>1.9565057332025641E-3</v>
      </c>
      <c r="D30" s="10">
        <v>3.0982429978624348E-3</v>
      </c>
      <c r="E30" s="10">
        <v>0.47846004757290106</v>
      </c>
      <c r="F30" s="15">
        <v>0</v>
      </c>
      <c r="G30" s="15" t="s">
        <v>89</v>
      </c>
      <c r="H30" s="15" t="s">
        <v>88</v>
      </c>
      <c r="I30" s="9">
        <v>303</v>
      </c>
      <c r="J30" s="18">
        <v>2.2124863088718509E-3</v>
      </c>
      <c r="K30" s="19">
        <f t="shared" si="1"/>
        <v>22039.66947510116</v>
      </c>
      <c r="L30" s="11">
        <v>2.0757919830415527E-3</v>
      </c>
      <c r="M30" s="11">
        <v>1.5979389700101377E-3</v>
      </c>
      <c r="N30" s="21">
        <f t="shared" si="2"/>
        <v>47960.33052489884</v>
      </c>
      <c r="O30" s="21"/>
      <c r="P30" s="21">
        <f t="shared" si="3"/>
        <v>30000</v>
      </c>
      <c r="Q30" s="21">
        <f t="shared" si="7"/>
        <v>0</v>
      </c>
      <c r="R30" s="21">
        <f t="shared" si="4"/>
        <v>0</v>
      </c>
      <c r="S30" s="131">
        <f t="shared" si="5"/>
        <v>100000</v>
      </c>
      <c r="T30" s="48">
        <f t="shared" si="6"/>
        <v>7.4074074074074077E-3</v>
      </c>
    </row>
    <row r="31" spans="1:20" x14ac:dyDescent="0.25">
      <c r="A31" s="3" t="s">
        <v>64</v>
      </c>
      <c r="B31" s="9">
        <v>31011</v>
      </c>
      <c r="C31" s="10">
        <f t="shared" si="0"/>
        <v>5.3850358828742978E-3</v>
      </c>
      <c r="D31" s="10">
        <v>3.0788468899767192E-3</v>
      </c>
      <c r="E31" s="10">
        <v>0.17736369910282954</v>
      </c>
      <c r="F31" s="15">
        <v>0</v>
      </c>
      <c r="G31" s="15" t="s">
        <v>2</v>
      </c>
      <c r="H31" s="15" t="s">
        <v>2</v>
      </c>
      <c r="I31" s="9">
        <v>1971</v>
      </c>
      <c r="J31" s="18">
        <v>1.4392113910186199E-2</v>
      </c>
      <c r="K31" s="19">
        <f t="shared" si="1"/>
        <v>143366.95886278676</v>
      </c>
      <c r="L31" s="11">
        <v>1.2747385037405891E-2</v>
      </c>
      <c r="M31" s="11">
        <v>1.0271379627462983E-2</v>
      </c>
      <c r="N31" s="21">
        <f t="shared" si="2"/>
        <v>0</v>
      </c>
      <c r="P31" s="21">
        <f t="shared" si="3"/>
        <v>0</v>
      </c>
      <c r="Q31" s="21">
        <f t="shared" si="7"/>
        <v>0</v>
      </c>
      <c r="R31" s="21">
        <f t="shared" si="4"/>
        <v>0</v>
      </c>
      <c r="S31" s="131">
        <f t="shared" si="5"/>
        <v>143366.95886278676</v>
      </c>
      <c r="T31" s="48">
        <f t="shared" si="6"/>
        <v>1.0619774730576797E-2</v>
      </c>
    </row>
    <row r="32" spans="1:20" x14ac:dyDescent="0.25">
      <c r="A32" s="3" t="s">
        <v>55</v>
      </c>
      <c r="B32" s="9">
        <v>12172</v>
      </c>
      <c r="C32" s="10">
        <f t="shared" si="0"/>
        <v>2.1136582750103496E-3</v>
      </c>
      <c r="D32" s="10">
        <v>2.783911955361569E-3</v>
      </c>
      <c r="E32" s="10">
        <v>0.40491204779289747</v>
      </c>
      <c r="F32" s="15">
        <v>0</v>
      </c>
      <c r="G32" s="15" t="s">
        <v>88</v>
      </c>
      <c r="H32" s="15" t="s">
        <v>88</v>
      </c>
      <c r="I32" s="9">
        <v>284</v>
      </c>
      <c r="J32" s="18">
        <v>2.0737495436290616E-3</v>
      </c>
      <c r="K32" s="19">
        <f t="shared" si="1"/>
        <v>20657.643996464456</v>
      </c>
      <c r="L32" s="11">
        <v>2.2351937742894428E-3</v>
      </c>
      <c r="M32" s="11">
        <v>1.348033083796251E-3</v>
      </c>
      <c r="N32" s="21">
        <f t="shared" si="2"/>
        <v>19342.356003535548</v>
      </c>
      <c r="O32" s="21"/>
      <c r="P32" s="21">
        <f t="shared" si="3"/>
        <v>60000</v>
      </c>
      <c r="Q32" s="21">
        <f t="shared" si="7"/>
        <v>0</v>
      </c>
      <c r="R32" s="21">
        <f t="shared" si="4"/>
        <v>0</v>
      </c>
      <c r="S32" s="131">
        <f t="shared" si="5"/>
        <v>100000</v>
      </c>
      <c r="T32" s="48">
        <f t="shared" si="6"/>
        <v>7.4074074074074077E-3</v>
      </c>
    </row>
    <row r="33" spans="1:20" x14ac:dyDescent="0.25">
      <c r="A33" s="3" t="s">
        <v>9</v>
      </c>
      <c r="B33" s="9">
        <v>22409</v>
      </c>
      <c r="C33" s="10">
        <f t="shared" si="0"/>
        <v>3.8913053142217318E-3</v>
      </c>
      <c r="D33" s="10">
        <v>2.7491130559195495E-3</v>
      </c>
      <c r="E33" s="10">
        <v>0.22218636175019596</v>
      </c>
      <c r="F33" s="15">
        <v>0</v>
      </c>
      <c r="G33" s="15" t="s">
        <v>2</v>
      </c>
      <c r="H33" s="15" t="s">
        <v>2</v>
      </c>
      <c r="I33" s="9">
        <v>455</v>
      </c>
      <c r="J33" s="18">
        <v>3.3223804308141658E-3</v>
      </c>
      <c r="K33" s="19">
        <f t="shared" si="1"/>
        <v>33095.873304194814</v>
      </c>
      <c r="L33" s="11">
        <v>3.2796323766450205E-3</v>
      </c>
      <c r="M33" s="11">
        <v>2.3570969060715515E-3</v>
      </c>
      <c r="N33" s="21">
        <f t="shared" si="2"/>
        <v>66904.126695805186</v>
      </c>
      <c r="O33" s="21"/>
      <c r="P33" s="21">
        <f t="shared" si="3"/>
        <v>0</v>
      </c>
      <c r="Q33" s="21">
        <f t="shared" si="7"/>
        <v>0</v>
      </c>
      <c r="R33" s="21">
        <f t="shared" si="4"/>
        <v>0</v>
      </c>
      <c r="S33" s="131">
        <f t="shared" si="5"/>
        <v>100000</v>
      </c>
      <c r="T33" s="48">
        <f t="shared" si="6"/>
        <v>7.4074074074074077E-3</v>
      </c>
    </row>
    <row r="34" spans="1:20" x14ac:dyDescent="0.25">
      <c r="A34" s="3" t="s">
        <v>23</v>
      </c>
      <c r="B34" s="9">
        <v>8205</v>
      </c>
      <c r="C34" s="10">
        <f t="shared" si="0"/>
        <v>1.4247918293181004E-3</v>
      </c>
      <c r="D34" s="10">
        <v>2.6002194042086132E-3</v>
      </c>
      <c r="E34" s="10">
        <v>0.55981331368214193</v>
      </c>
      <c r="F34" s="15">
        <v>0</v>
      </c>
      <c r="G34" s="15" t="s">
        <v>88</v>
      </c>
      <c r="H34" s="15" t="s">
        <v>88</v>
      </c>
      <c r="I34" s="9">
        <v>100</v>
      </c>
      <c r="J34" s="18">
        <v>7.3019350127783865E-4</v>
      </c>
      <c r="K34" s="19">
        <f t="shared" si="1"/>
        <v>7273.8183086142453</v>
      </c>
      <c r="L34" s="11">
        <v>6.590193459054557E-4</v>
      </c>
      <c r="M34" s="11">
        <v>4.4363799337903526E-4</v>
      </c>
      <c r="N34" s="21">
        <f t="shared" si="2"/>
        <v>32726.181691385747</v>
      </c>
      <c r="O34" s="21"/>
      <c r="P34" s="21">
        <f t="shared" si="3"/>
        <v>60000</v>
      </c>
      <c r="Q34" s="21">
        <f t="shared" si="7"/>
        <v>0</v>
      </c>
      <c r="R34" s="21">
        <f t="shared" si="4"/>
        <v>0</v>
      </c>
      <c r="S34" s="131">
        <f t="shared" si="5"/>
        <v>100000</v>
      </c>
      <c r="T34" s="48">
        <f t="shared" si="6"/>
        <v>7.4074074074074077E-3</v>
      </c>
    </row>
    <row r="35" spans="1:20" x14ac:dyDescent="0.25">
      <c r="A35" s="3" t="s">
        <v>15</v>
      </c>
      <c r="B35" s="9">
        <v>14029</v>
      </c>
      <c r="C35" s="10">
        <f t="shared" si="0"/>
        <v>2.4361248718468777E-3</v>
      </c>
      <c r="D35" s="10">
        <v>1.721689811737954E-3</v>
      </c>
      <c r="E35" s="10">
        <v>0.2338084908583824</v>
      </c>
      <c r="F35" s="15">
        <v>0</v>
      </c>
      <c r="G35" s="15" t="s">
        <v>89</v>
      </c>
      <c r="H35" s="15" t="s">
        <v>88</v>
      </c>
      <c r="I35" s="9">
        <v>483</v>
      </c>
      <c r="J35" s="18">
        <v>3.5268346111719607E-3</v>
      </c>
      <c r="K35" s="19">
        <f t="shared" si="1"/>
        <v>35132.542430606802</v>
      </c>
      <c r="L35" s="11">
        <v>2.62775042437753E-3</v>
      </c>
      <c r="M35" s="11">
        <v>1.8356247886602618E-3</v>
      </c>
      <c r="N35" s="21">
        <f t="shared" si="2"/>
        <v>34867.457569393198</v>
      </c>
      <c r="O35" s="21"/>
      <c r="P35" s="21">
        <f t="shared" si="3"/>
        <v>30000</v>
      </c>
      <c r="Q35" s="21">
        <f t="shared" si="7"/>
        <v>0</v>
      </c>
      <c r="R35" s="21">
        <f t="shared" si="4"/>
        <v>0</v>
      </c>
      <c r="S35" s="131">
        <f t="shared" si="5"/>
        <v>100000</v>
      </c>
      <c r="T35" s="48">
        <f t="shared" si="6"/>
        <v>7.4074074074074077E-3</v>
      </c>
    </row>
    <row r="36" spans="1:20" x14ac:dyDescent="0.25">
      <c r="A36" s="3" t="s">
        <v>20</v>
      </c>
      <c r="B36" s="9">
        <v>20356</v>
      </c>
      <c r="C36" s="10">
        <f t="shared" si="0"/>
        <v>3.5348034707616393E-3</v>
      </c>
      <c r="D36" s="10">
        <v>1.6475282227631581E-3</v>
      </c>
      <c r="E36" s="10">
        <v>0.15069922771863911</v>
      </c>
      <c r="F36" s="15">
        <v>0</v>
      </c>
      <c r="G36" s="15" t="s">
        <v>89</v>
      </c>
      <c r="H36" s="15" t="s">
        <v>88</v>
      </c>
      <c r="I36" s="9">
        <v>881</v>
      </c>
      <c r="J36" s="18">
        <v>6.4330047462577587E-3</v>
      </c>
      <c r="K36" s="19">
        <f t="shared" si="1"/>
        <v>64082.3392988915</v>
      </c>
      <c r="L36" s="11">
        <v>4.8688920266986109E-3</v>
      </c>
      <c r="M36" s="11">
        <v>3.5463516795629663E-3</v>
      </c>
      <c r="N36" s="21">
        <f t="shared" si="2"/>
        <v>5917.6607011084998</v>
      </c>
      <c r="P36" s="21">
        <f t="shared" si="3"/>
        <v>30000</v>
      </c>
      <c r="Q36" s="21">
        <f t="shared" si="7"/>
        <v>0</v>
      </c>
      <c r="R36" s="21">
        <f t="shared" si="4"/>
        <v>0</v>
      </c>
      <c r="S36" s="131">
        <f t="shared" si="5"/>
        <v>100000</v>
      </c>
      <c r="T36" s="48">
        <f t="shared" si="6"/>
        <v>7.4074074074074077E-3</v>
      </c>
    </row>
    <row r="37" spans="1:20" x14ac:dyDescent="0.25">
      <c r="A37" s="3" t="s">
        <v>32</v>
      </c>
      <c r="B37" s="9">
        <v>26729</v>
      </c>
      <c r="C37" s="10">
        <f t="shared" si="0"/>
        <v>4.6414699336798908E-3</v>
      </c>
      <c r="D37" s="10">
        <v>1.5904808466286997E-3</v>
      </c>
      <c r="E37" s="10">
        <v>0.11080200302042763</v>
      </c>
      <c r="F37" s="15">
        <v>0</v>
      </c>
      <c r="G37" s="15" t="s">
        <v>2</v>
      </c>
      <c r="H37" s="15" t="s">
        <v>2</v>
      </c>
      <c r="I37" s="9">
        <v>585</v>
      </c>
      <c r="J37" s="18">
        <v>4.271631982475356E-3</v>
      </c>
      <c r="K37" s="19">
        <f t="shared" si="1"/>
        <v>42551.83710539333</v>
      </c>
      <c r="L37" s="11">
        <v>2.4624008050980022E-3</v>
      </c>
      <c r="M37" s="11">
        <v>2.3546473880238605E-3</v>
      </c>
      <c r="N37" s="21">
        <f t="shared" si="2"/>
        <v>57448.16289460667</v>
      </c>
      <c r="O37" s="21"/>
      <c r="P37" s="21">
        <f t="shared" si="3"/>
        <v>0</v>
      </c>
      <c r="Q37" s="21">
        <f t="shared" si="7"/>
        <v>0</v>
      </c>
      <c r="R37" s="21">
        <f t="shared" si="4"/>
        <v>0</v>
      </c>
      <c r="S37" s="131">
        <f t="shared" si="5"/>
        <v>100000</v>
      </c>
      <c r="T37" s="48">
        <f t="shared" si="6"/>
        <v>7.4074074074074077E-3</v>
      </c>
    </row>
    <row r="38" spans="1:20" x14ac:dyDescent="0.25">
      <c r="A38" s="3" t="s">
        <v>60</v>
      </c>
      <c r="B38" s="9">
        <v>6824</v>
      </c>
      <c r="C38" s="10">
        <f t="shared" si="0"/>
        <v>1.1849822599959436E-3</v>
      </c>
      <c r="D38" s="10">
        <v>1.5305811016875185E-3</v>
      </c>
      <c r="E38" s="10">
        <v>0.41481137909709337</v>
      </c>
      <c r="F38" s="15">
        <v>0</v>
      </c>
      <c r="G38" s="15" t="s">
        <v>2</v>
      </c>
      <c r="H38" s="15" t="s">
        <v>2</v>
      </c>
      <c r="I38" s="9">
        <v>115</v>
      </c>
      <c r="J38" s="18">
        <v>8.3972252646951446E-4</v>
      </c>
      <c r="K38" s="19">
        <f t="shared" si="1"/>
        <v>8364.8910549063821</v>
      </c>
      <c r="L38" s="11">
        <v>9.730646659759256E-4</v>
      </c>
      <c r="M38" s="11">
        <v>6.711954677420766E-4</v>
      </c>
      <c r="N38" s="21">
        <f t="shared" si="2"/>
        <v>91635.108945093612</v>
      </c>
      <c r="O38" s="21"/>
      <c r="P38" s="21">
        <f t="shared" si="3"/>
        <v>0</v>
      </c>
      <c r="Q38" s="21">
        <f t="shared" si="7"/>
        <v>0</v>
      </c>
      <c r="R38" s="21">
        <f t="shared" si="4"/>
        <v>0</v>
      </c>
      <c r="S38" s="131">
        <f t="shared" si="5"/>
        <v>100000</v>
      </c>
      <c r="T38" s="48">
        <f t="shared" si="6"/>
        <v>7.4074074074074077E-3</v>
      </c>
    </row>
    <row r="39" spans="1:20" x14ac:dyDescent="0.25">
      <c r="A39" s="3" t="s">
        <v>65</v>
      </c>
      <c r="B39" s="9">
        <v>25388</v>
      </c>
      <c r="C39" s="10">
        <f t="shared" si="0"/>
        <v>4.4086063330564208E-3</v>
      </c>
      <c r="D39" s="10">
        <v>1.4935003072001204E-3</v>
      </c>
      <c r="E39" s="10">
        <v>0.10857213950980799</v>
      </c>
      <c r="F39" s="15">
        <v>0</v>
      </c>
      <c r="G39" s="15" t="s">
        <v>2</v>
      </c>
      <c r="H39" s="15" t="s">
        <v>2</v>
      </c>
      <c r="I39" s="9">
        <v>637</v>
      </c>
      <c r="J39" s="18">
        <v>4.6513326031398317E-3</v>
      </c>
      <c r="K39" s="19">
        <f t="shared" si="1"/>
        <v>46334.222625872739</v>
      </c>
      <c r="L39" s="11">
        <v>3.1202305853971304E-3</v>
      </c>
      <c r="M39" s="11">
        <v>2.2417218537578278E-3</v>
      </c>
      <c r="N39" s="21">
        <f t="shared" si="2"/>
        <v>53665.777374127261</v>
      </c>
      <c r="O39" s="21"/>
      <c r="P39" s="21">
        <f t="shared" si="3"/>
        <v>0</v>
      </c>
      <c r="Q39" s="21">
        <f t="shared" si="7"/>
        <v>0</v>
      </c>
      <c r="R39" s="21">
        <f t="shared" si="4"/>
        <v>0</v>
      </c>
      <c r="S39" s="131">
        <f t="shared" si="5"/>
        <v>100000</v>
      </c>
      <c r="T39" s="48">
        <f t="shared" si="6"/>
        <v>7.4074074074074077E-3</v>
      </c>
    </row>
    <row r="40" spans="1:20" x14ac:dyDescent="0.25">
      <c r="A40" s="3" t="s">
        <v>59</v>
      </c>
      <c r="B40" s="9">
        <v>25638</v>
      </c>
      <c r="C40" s="10">
        <f t="shared" si="0"/>
        <v>4.4520186374232126E-3</v>
      </c>
      <c r="D40" s="10">
        <v>1.4855136745412962E-3</v>
      </c>
      <c r="E40" s="10">
        <v>0.10468762563319128</v>
      </c>
      <c r="F40" s="15">
        <v>0</v>
      </c>
      <c r="G40" s="15" t="s">
        <v>2</v>
      </c>
      <c r="H40" s="15" t="s">
        <v>2</v>
      </c>
      <c r="I40" s="9">
        <v>1577</v>
      </c>
      <c r="J40" s="18">
        <v>1.1515151515151515E-2</v>
      </c>
      <c r="K40" s="19">
        <f t="shared" si="1"/>
        <v>114708.11472684663</v>
      </c>
      <c r="L40" s="11">
        <v>1.0026848495734812E-2</v>
      </c>
      <c r="M40" s="11">
        <v>8.4656995088688795E-3</v>
      </c>
      <c r="N40" s="21">
        <f t="shared" si="2"/>
        <v>0</v>
      </c>
      <c r="P40" s="21">
        <f t="shared" si="3"/>
        <v>0</v>
      </c>
      <c r="Q40" s="21">
        <f t="shared" si="7"/>
        <v>0</v>
      </c>
      <c r="R40" s="21">
        <f t="shared" si="4"/>
        <v>0</v>
      </c>
      <c r="S40" s="131">
        <f t="shared" si="5"/>
        <v>114708.11472684663</v>
      </c>
      <c r="T40" s="48">
        <f t="shared" si="6"/>
        <v>8.496897387173824E-3</v>
      </c>
    </row>
    <row r="41" spans="1:20" x14ac:dyDescent="0.25">
      <c r="A41" s="3" t="s">
        <v>54</v>
      </c>
      <c r="B41" s="9">
        <v>17767</v>
      </c>
      <c r="C41" s="10">
        <f t="shared" si="0"/>
        <v>3.0852256467391453E-3</v>
      </c>
      <c r="D41" s="10">
        <v>1.4786679894051612E-3</v>
      </c>
      <c r="E41" s="10">
        <v>0.14473169914568093</v>
      </c>
      <c r="F41" s="15">
        <v>0</v>
      </c>
      <c r="G41" s="15" t="s">
        <v>2</v>
      </c>
      <c r="H41" s="15" t="s">
        <v>2</v>
      </c>
      <c r="I41" s="9">
        <v>1429</v>
      </c>
      <c r="J41" s="18">
        <v>1.0434465133260315E-2</v>
      </c>
      <c r="K41" s="19">
        <f t="shared" si="1"/>
        <v>103942.86363009756</v>
      </c>
      <c r="L41" s="11">
        <v>1.0213610295928236E-2</v>
      </c>
      <c r="M41" s="11">
        <v>1.0626669835076978E-2</v>
      </c>
      <c r="N41" s="21">
        <f t="shared" si="2"/>
        <v>0</v>
      </c>
      <c r="P41" s="21">
        <f t="shared" si="3"/>
        <v>0</v>
      </c>
      <c r="Q41" s="21">
        <f t="shared" si="7"/>
        <v>0</v>
      </c>
      <c r="R41" s="21">
        <f t="shared" si="4"/>
        <v>0</v>
      </c>
      <c r="S41" s="131">
        <f t="shared" si="5"/>
        <v>103942.86363009756</v>
      </c>
      <c r="T41" s="48">
        <f t="shared" si="6"/>
        <v>7.6994713800072265E-3</v>
      </c>
    </row>
    <row r="42" spans="1:20" x14ac:dyDescent="0.25">
      <c r="A42" s="3" t="s">
        <v>11</v>
      </c>
      <c r="B42" s="9">
        <v>8127</v>
      </c>
      <c r="C42" s="10">
        <f t="shared" si="0"/>
        <v>1.4112471903556614E-3</v>
      </c>
      <c r="D42" s="10">
        <v>1.4763860943597829E-3</v>
      </c>
      <c r="E42" s="10">
        <v>0.34119973632168754</v>
      </c>
      <c r="F42" s="15">
        <v>0</v>
      </c>
      <c r="G42" s="15" t="s">
        <v>2</v>
      </c>
      <c r="H42" s="15" t="s">
        <v>2</v>
      </c>
      <c r="I42" s="9">
        <v>194</v>
      </c>
      <c r="J42" s="18">
        <v>1.416575392479007E-3</v>
      </c>
      <c r="K42" s="19">
        <f t="shared" si="1"/>
        <v>14111.207518711635</v>
      </c>
      <c r="L42" s="11">
        <v>1.1538786381377112E-3</v>
      </c>
      <c r="M42" s="11">
        <v>8.3707462811774796E-4</v>
      </c>
      <c r="N42" s="21">
        <f t="shared" si="2"/>
        <v>85888.792481288372</v>
      </c>
      <c r="O42" s="21"/>
      <c r="P42" s="21">
        <f t="shared" si="3"/>
        <v>0</v>
      </c>
      <c r="Q42" s="21">
        <f t="shared" si="7"/>
        <v>0</v>
      </c>
      <c r="R42" s="21">
        <f t="shared" si="4"/>
        <v>0</v>
      </c>
      <c r="S42" s="131">
        <f t="shared" si="5"/>
        <v>100000</v>
      </c>
      <c r="T42" s="48">
        <f t="shared" si="6"/>
        <v>7.4074074074074077E-3</v>
      </c>
    </row>
    <row r="43" spans="1:20" x14ac:dyDescent="0.25">
      <c r="A43" s="3" t="s">
        <v>7</v>
      </c>
      <c r="B43" s="9">
        <v>10019</v>
      </c>
      <c r="C43" s="10">
        <f t="shared" si="0"/>
        <v>1.7397915098035402E-3</v>
      </c>
      <c r="D43" s="10">
        <v>1.4204796657480137E-3</v>
      </c>
      <c r="E43" s="10">
        <v>0.24729367365180258</v>
      </c>
      <c r="F43" s="15">
        <v>0</v>
      </c>
      <c r="G43" s="15" t="s">
        <v>89</v>
      </c>
      <c r="H43" s="15" t="s">
        <v>88</v>
      </c>
      <c r="I43" s="9">
        <v>332</v>
      </c>
      <c r="J43" s="18">
        <v>2.4242424242424242E-3</v>
      </c>
      <c r="K43" s="19">
        <f t="shared" si="1"/>
        <v>24149.076784599292</v>
      </c>
      <c r="L43" s="11">
        <v>1.9604041192277815E-3</v>
      </c>
      <c r="M43" s="11">
        <v>1.4189039711311362E-3</v>
      </c>
      <c r="N43" s="21">
        <f t="shared" si="2"/>
        <v>45850.923215400704</v>
      </c>
      <c r="O43" s="21"/>
      <c r="P43" s="21">
        <f t="shared" si="3"/>
        <v>30000</v>
      </c>
      <c r="Q43" s="21">
        <f t="shared" si="7"/>
        <v>0</v>
      </c>
      <c r="R43" s="21">
        <f t="shared" si="4"/>
        <v>0</v>
      </c>
      <c r="S43" s="131">
        <f t="shared" si="5"/>
        <v>100000</v>
      </c>
      <c r="T43" s="48">
        <f t="shared" si="6"/>
        <v>7.4074074074074077E-3</v>
      </c>
    </row>
    <row r="44" spans="1:20" x14ac:dyDescent="0.25">
      <c r="A44" s="3" t="s">
        <v>24</v>
      </c>
      <c r="B44" s="9">
        <v>3887</v>
      </c>
      <c r="C44" s="10">
        <f t="shared" si="0"/>
        <v>6.7497450829487587E-4</v>
      </c>
      <c r="D44" s="10">
        <v>1.409070190521122E-3</v>
      </c>
      <c r="E44" s="10">
        <v>0.66992134526715486</v>
      </c>
      <c r="F44" s="15">
        <v>0</v>
      </c>
      <c r="G44" s="15" t="s">
        <v>2</v>
      </c>
      <c r="H44" s="15" t="s">
        <v>2</v>
      </c>
      <c r="I44" s="9">
        <v>40</v>
      </c>
      <c r="J44" s="18">
        <v>2.9207740051113545E-4</v>
      </c>
      <c r="K44" s="19">
        <f t="shared" si="1"/>
        <v>2909.5273234456977</v>
      </c>
      <c r="L44" s="11">
        <v>3.3902619780334817E-4</v>
      </c>
      <c r="M44" s="11">
        <v>2.260437272549176E-4</v>
      </c>
      <c r="N44" s="21">
        <f t="shared" si="2"/>
        <v>97090.472676554302</v>
      </c>
      <c r="O44" s="21"/>
      <c r="P44" s="21">
        <f t="shared" si="3"/>
        <v>0</v>
      </c>
      <c r="Q44" s="21">
        <f t="shared" si="7"/>
        <v>0</v>
      </c>
      <c r="R44" s="21">
        <f t="shared" si="4"/>
        <v>0</v>
      </c>
      <c r="S44" s="131">
        <f t="shared" si="5"/>
        <v>100000</v>
      </c>
      <c r="T44" s="48">
        <f t="shared" si="6"/>
        <v>7.4074074074074077E-3</v>
      </c>
    </row>
    <row r="45" spans="1:20" x14ac:dyDescent="0.25">
      <c r="A45" s="3" t="s">
        <v>48</v>
      </c>
      <c r="B45" s="9">
        <v>13283</v>
      </c>
      <c r="C45" s="10">
        <f t="shared" si="0"/>
        <v>2.3065825556163712E-3</v>
      </c>
      <c r="D45" s="10">
        <v>1.40507687419171E-3</v>
      </c>
      <c r="E45" s="10">
        <v>0.18859111791730473</v>
      </c>
      <c r="F45" s="15">
        <v>0</v>
      </c>
      <c r="G45" s="15" t="s">
        <v>2</v>
      </c>
      <c r="H45" s="15" t="s">
        <v>2</v>
      </c>
      <c r="I45" s="9">
        <v>335</v>
      </c>
      <c r="J45" s="18">
        <v>2.4461482292807593E-3</v>
      </c>
      <c r="K45" s="19">
        <f t="shared" si="1"/>
        <v>24367.29133385772</v>
      </c>
      <c r="L45" s="11">
        <v>1.9532667255898165E-3</v>
      </c>
      <c r="M45" s="11">
        <v>1.5497467666224158E-3</v>
      </c>
      <c r="N45" s="21">
        <f t="shared" si="2"/>
        <v>75632.70866614228</v>
      </c>
      <c r="O45" s="21"/>
      <c r="P45" s="21">
        <f t="shared" si="3"/>
        <v>0</v>
      </c>
      <c r="Q45" s="21">
        <f t="shared" si="7"/>
        <v>0</v>
      </c>
      <c r="R45" s="21">
        <f t="shared" si="4"/>
        <v>0</v>
      </c>
      <c r="S45" s="131">
        <f t="shared" si="5"/>
        <v>100000</v>
      </c>
      <c r="T45" s="48">
        <f t="shared" si="6"/>
        <v>7.4074074074074077E-3</v>
      </c>
    </row>
    <row r="46" spans="1:20" x14ac:dyDescent="0.25">
      <c r="A46" s="3" t="s">
        <v>40</v>
      </c>
      <c r="B46" s="9">
        <v>6897</v>
      </c>
      <c r="C46" s="10">
        <f t="shared" si="0"/>
        <v>1.1976586528710466E-3</v>
      </c>
      <c r="D46" s="10">
        <v>1.3674256059429675E-3</v>
      </c>
      <c r="E46" s="10">
        <v>0.36411970226340573</v>
      </c>
      <c r="F46" s="15">
        <v>0</v>
      </c>
      <c r="G46" s="15" t="s">
        <v>88</v>
      </c>
      <c r="H46" s="15" t="s">
        <v>89</v>
      </c>
      <c r="I46" s="9">
        <v>124</v>
      </c>
      <c r="J46" s="18">
        <v>9.0543994158451995E-4</v>
      </c>
      <c r="K46" s="19">
        <f t="shared" si="1"/>
        <v>9019.5347026816635</v>
      </c>
      <c r="L46" s="11">
        <v>6.7091500196873107E-4</v>
      </c>
      <c r="M46" s="11">
        <v>4.5772960282193287E-4</v>
      </c>
      <c r="N46" s="21">
        <f t="shared" si="2"/>
        <v>60980.46529731834</v>
      </c>
      <c r="O46" s="21"/>
      <c r="P46" s="21">
        <f t="shared" si="3"/>
        <v>30000</v>
      </c>
      <c r="Q46" s="21">
        <f t="shared" si="7"/>
        <v>0</v>
      </c>
      <c r="R46" s="21">
        <f t="shared" si="4"/>
        <v>0</v>
      </c>
      <c r="S46" s="131">
        <f t="shared" si="5"/>
        <v>100000</v>
      </c>
      <c r="T46" s="48">
        <f t="shared" si="6"/>
        <v>7.4074074074074077E-3</v>
      </c>
    </row>
    <row r="47" spans="1:20" x14ac:dyDescent="0.25">
      <c r="A47" s="3" t="s">
        <v>17</v>
      </c>
      <c r="B47" s="9">
        <v>5577</v>
      </c>
      <c r="C47" s="10">
        <f t="shared" si="0"/>
        <v>9.6844168581438706E-4</v>
      </c>
      <c r="D47" s="10">
        <v>1.2133976903799298E-3</v>
      </c>
      <c r="E47" s="10">
        <v>0.36615596488207952</v>
      </c>
      <c r="F47" s="15">
        <v>0</v>
      </c>
      <c r="G47" s="15" t="s">
        <v>2</v>
      </c>
      <c r="H47" s="15" t="s">
        <v>2</v>
      </c>
      <c r="I47" s="9">
        <v>47</v>
      </c>
      <c r="J47" s="18">
        <v>3.4319094560058416E-4</v>
      </c>
      <c r="K47" s="19">
        <f t="shared" si="1"/>
        <v>3418.6946050486949</v>
      </c>
      <c r="L47" s="11">
        <v>2.831166143059539E-4</v>
      </c>
      <c r="M47" s="11">
        <v>1.7991572446918256E-4</v>
      </c>
      <c r="N47" s="21">
        <f t="shared" si="2"/>
        <v>96581.305394951312</v>
      </c>
      <c r="O47" s="21"/>
      <c r="P47" s="21">
        <f t="shared" si="3"/>
        <v>0</v>
      </c>
      <c r="Q47" s="21">
        <f t="shared" si="7"/>
        <v>0</v>
      </c>
      <c r="R47" s="21">
        <f t="shared" si="4"/>
        <v>0</v>
      </c>
      <c r="S47" s="131">
        <f t="shared" si="5"/>
        <v>100000</v>
      </c>
      <c r="T47" s="48">
        <f t="shared" si="6"/>
        <v>7.4074074074074077E-3</v>
      </c>
    </row>
    <row r="48" spans="1:20" x14ac:dyDescent="0.25">
      <c r="A48" s="3" t="s">
        <v>38</v>
      </c>
      <c r="B48" s="9">
        <v>17462</v>
      </c>
      <c r="C48" s="10">
        <f t="shared" si="0"/>
        <v>3.0322626354116599E-3</v>
      </c>
      <c r="D48" s="10">
        <v>1.2088339002891732E-3</v>
      </c>
      <c r="E48" s="10">
        <v>0.12813690512184797</v>
      </c>
      <c r="F48" s="15">
        <v>0</v>
      </c>
      <c r="G48" s="15" t="s">
        <v>89</v>
      </c>
      <c r="H48" s="15" t="s">
        <v>88</v>
      </c>
      <c r="I48" s="9">
        <v>1085</v>
      </c>
      <c r="J48" s="18">
        <v>7.9225994888645485E-3</v>
      </c>
      <c r="K48" s="19">
        <f t="shared" si="1"/>
        <v>78920.928648464542</v>
      </c>
      <c r="L48" s="11">
        <v>5.5445652910926513E-3</v>
      </c>
      <c r="M48" s="11">
        <v>3.9743567937162872E-3</v>
      </c>
      <c r="N48" s="21">
        <f t="shared" si="2"/>
        <v>0</v>
      </c>
      <c r="P48" s="21">
        <f t="shared" si="3"/>
        <v>30000</v>
      </c>
      <c r="Q48" s="21">
        <f t="shared" si="7"/>
        <v>0</v>
      </c>
      <c r="R48" s="21">
        <f t="shared" si="4"/>
        <v>0</v>
      </c>
      <c r="S48" s="131">
        <f t="shared" si="5"/>
        <v>108920.92864846454</v>
      </c>
      <c r="T48" s="48">
        <f t="shared" si="6"/>
        <v>8.0682169369232989E-3</v>
      </c>
    </row>
    <row r="49" spans="1:20" x14ac:dyDescent="0.25">
      <c r="A49" s="3" t="s">
        <v>25</v>
      </c>
      <c r="B49" s="9">
        <v>6061</v>
      </c>
      <c r="C49" s="10">
        <f t="shared" si="0"/>
        <v>1.0524879070684956E-3</v>
      </c>
      <c r="D49" s="10">
        <v>1.2054110577211057E-3</v>
      </c>
      <c r="E49" s="10">
        <v>0.37531083481349914</v>
      </c>
      <c r="F49" s="15">
        <v>0</v>
      </c>
      <c r="G49" s="15" t="s">
        <v>2</v>
      </c>
      <c r="H49" s="15" t="s">
        <v>2</v>
      </c>
      <c r="I49" s="9">
        <v>29</v>
      </c>
      <c r="J49" s="18">
        <v>2.1175611537057321E-4</v>
      </c>
      <c r="K49" s="19">
        <f t="shared" si="1"/>
        <v>2109.4073094981309</v>
      </c>
      <c r="L49" s="11">
        <v>2.7241052384900606E-4</v>
      </c>
      <c r="M49" s="11">
        <v>1.8839270827467563E-4</v>
      </c>
      <c r="N49" s="21">
        <f t="shared" si="2"/>
        <v>97890.592690501871</v>
      </c>
      <c r="O49" s="21"/>
      <c r="P49" s="21">
        <f t="shared" si="3"/>
        <v>0</v>
      </c>
      <c r="Q49" s="21">
        <f t="shared" si="7"/>
        <v>0</v>
      </c>
      <c r="R49" s="21">
        <f t="shared" si="4"/>
        <v>0</v>
      </c>
      <c r="S49" s="131">
        <f t="shared" si="5"/>
        <v>100000</v>
      </c>
      <c r="T49" s="48">
        <f t="shared" si="6"/>
        <v>7.4074074074074077E-3</v>
      </c>
    </row>
    <row r="50" spans="1:20" x14ac:dyDescent="0.25">
      <c r="A50" s="3" t="s">
        <v>53</v>
      </c>
      <c r="B50" s="9">
        <v>18845</v>
      </c>
      <c r="C50" s="10">
        <f t="shared" si="0"/>
        <v>3.272419503168751E-3</v>
      </c>
      <c r="D50" s="10">
        <v>1.0753430401345405E-3</v>
      </c>
      <c r="E50" s="10">
        <v>0.10838316467341307</v>
      </c>
      <c r="F50" s="15">
        <v>0</v>
      </c>
      <c r="G50" s="15" t="s">
        <v>2</v>
      </c>
      <c r="H50" s="15" t="s">
        <v>2</v>
      </c>
      <c r="I50" s="9">
        <v>448</v>
      </c>
      <c r="J50" s="18">
        <v>3.2712668857247172E-3</v>
      </c>
      <c r="K50" s="19">
        <f t="shared" si="1"/>
        <v>32586.706022591818</v>
      </c>
      <c r="L50" s="11">
        <v>1.5880700844472624E-3</v>
      </c>
      <c r="M50" s="11">
        <v>1.2528596747073059E-3</v>
      </c>
      <c r="N50" s="21">
        <f t="shared" si="2"/>
        <v>67413.293977408175</v>
      </c>
      <c r="O50" s="21"/>
      <c r="P50" s="21">
        <f t="shared" si="3"/>
        <v>0</v>
      </c>
      <c r="Q50" s="21">
        <f t="shared" si="7"/>
        <v>0</v>
      </c>
      <c r="R50" s="21">
        <f t="shared" si="4"/>
        <v>0</v>
      </c>
      <c r="S50" s="131">
        <f t="shared" si="5"/>
        <v>100000</v>
      </c>
      <c r="T50" s="48">
        <f t="shared" si="6"/>
        <v>7.4074074074074077E-3</v>
      </c>
    </row>
    <row r="51" spans="1:20" x14ac:dyDescent="0.25">
      <c r="A51" s="3" t="s">
        <v>8</v>
      </c>
      <c r="B51" s="9">
        <v>5701</v>
      </c>
      <c r="C51" s="10">
        <f t="shared" si="0"/>
        <v>9.8997418878031562E-4</v>
      </c>
      <c r="D51" s="10">
        <v>1.0724906713278177E-3</v>
      </c>
      <c r="E51" s="10">
        <v>0.33886085075702954</v>
      </c>
      <c r="F51" s="15">
        <v>0</v>
      </c>
      <c r="G51" s="15" t="s">
        <v>88</v>
      </c>
      <c r="H51" s="15" t="s">
        <v>88</v>
      </c>
      <c r="I51" s="9">
        <v>115</v>
      </c>
      <c r="J51" s="18">
        <v>8.3972252646951446E-4</v>
      </c>
      <c r="K51" s="19">
        <f t="shared" si="1"/>
        <v>8364.8910549063821</v>
      </c>
      <c r="L51" s="11">
        <v>8.8622637671401539E-4</v>
      </c>
      <c r="M51" s="11">
        <v>6.9070904409952662E-4</v>
      </c>
      <c r="N51" s="21">
        <f t="shared" si="2"/>
        <v>31635.108945093612</v>
      </c>
      <c r="O51" s="21"/>
      <c r="P51" s="21">
        <f t="shared" si="3"/>
        <v>60000</v>
      </c>
      <c r="Q51" s="21">
        <f t="shared" si="7"/>
        <v>0</v>
      </c>
      <c r="R51" s="21">
        <f t="shared" si="4"/>
        <v>0</v>
      </c>
      <c r="S51" s="131">
        <f t="shared" si="5"/>
        <v>100000</v>
      </c>
      <c r="T51" s="48">
        <f t="shared" si="6"/>
        <v>7.4074074074074077E-3</v>
      </c>
    </row>
    <row r="52" spans="1:20" x14ac:dyDescent="0.25">
      <c r="A52" s="3" t="s">
        <v>37</v>
      </c>
      <c r="B52" s="9">
        <v>15734</v>
      </c>
      <c r="C52" s="10">
        <f t="shared" si="0"/>
        <v>2.7321967876283962E-3</v>
      </c>
      <c r="D52" s="10">
        <v>1.0656449861916827E-3</v>
      </c>
      <c r="E52" s="10">
        <v>0.12398778707022434</v>
      </c>
      <c r="F52" s="15">
        <v>0</v>
      </c>
      <c r="G52" s="15" t="s">
        <v>89</v>
      </c>
      <c r="H52" s="15" t="s">
        <v>88</v>
      </c>
      <c r="I52" s="9">
        <v>771</v>
      </c>
      <c r="J52" s="18">
        <v>5.6297918948521354E-3</v>
      </c>
      <c r="K52" s="19">
        <f t="shared" si="1"/>
        <v>56081.139159415819</v>
      </c>
      <c r="L52" s="11">
        <v>4.4691979829725578E-3</v>
      </c>
      <c r="M52" s="11">
        <v>3.3083080661418314E-3</v>
      </c>
      <c r="N52" s="21">
        <f t="shared" si="2"/>
        <v>13918.860840584181</v>
      </c>
      <c r="P52" s="21">
        <f t="shared" si="3"/>
        <v>30000</v>
      </c>
      <c r="Q52" s="21">
        <f t="shared" si="7"/>
        <v>0</v>
      </c>
      <c r="R52" s="21">
        <f t="shared" si="4"/>
        <v>0</v>
      </c>
      <c r="S52" s="131">
        <f t="shared" si="5"/>
        <v>100000</v>
      </c>
      <c r="T52" s="48">
        <f t="shared" si="6"/>
        <v>7.4074074074074077E-3</v>
      </c>
    </row>
    <row r="53" spans="1:20" x14ac:dyDescent="0.25">
      <c r="A53" s="3" t="s">
        <v>42</v>
      </c>
      <c r="B53" s="9">
        <v>7097</v>
      </c>
      <c r="C53" s="10">
        <f t="shared" si="0"/>
        <v>1.23238849636448E-3</v>
      </c>
      <c r="D53" s="10">
        <v>1.017154716477393E-3</v>
      </c>
      <c r="E53" s="10">
        <v>0.2335297969875573</v>
      </c>
      <c r="F53" s="15">
        <v>0</v>
      </c>
      <c r="G53" s="15" t="s">
        <v>89</v>
      </c>
      <c r="H53" s="15" t="s">
        <v>88</v>
      </c>
      <c r="I53" s="9">
        <v>227</v>
      </c>
      <c r="J53" s="18">
        <v>1.6575392479006937E-3</v>
      </c>
      <c r="K53" s="19">
        <f t="shared" si="1"/>
        <v>16511.567560554337</v>
      </c>
      <c r="L53" s="11">
        <v>1.5214544104929202E-3</v>
      </c>
      <c r="M53" s="11">
        <v>1.1087234273392307E-3</v>
      </c>
      <c r="N53" s="21">
        <f t="shared" si="2"/>
        <v>53488.432439445663</v>
      </c>
      <c r="O53" s="21"/>
      <c r="P53" s="21">
        <f t="shared" si="3"/>
        <v>30000</v>
      </c>
      <c r="Q53" s="21">
        <f t="shared" si="7"/>
        <v>0</v>
      </c>
      <c r="R53" s="21">
        <f t="shared" si="4"/>
        <v>0</v>
      </c>
      <c r="S53" s="131">
        <f t="shared" si="5"/>
        <v>100000</v>
      </c>
      <c r="T53" s="48">
        <f t="shared" si="6"/>
        <v>7.4074074074074077E-3</v>
      </c>
    </row>
    <row r="54" spans="1:20" x14ac:dyDescent="0.25">
      <c r="A54" s="3" t="s">
        <v>62</v>
      </c>
      <c r="B54" s="9">
        <v>8179</v>
      </c>
      <c r="C54" s="10">
        <f t="shared" si="0"/>
        <v>1.4202769496639541E-3</v>
      </c>
      <c r="D54" s="10">
        <v>6.1782308353618425E-4</v>
      </c>
      <c r="E54" s="10">
        <v>0.13591867469879518</v>
      </c>
      <c r="F54" s="15">
        <v>0</v>
      </c>
      <c r="G54" s="15" t="s">
        <v>89</v>
      </c>
      <c r="H54" s="15" t="s">
        <v>88</v>
      </c>
      <c r="I54" s="9">
        <v>572</v>
      </c>
      <c r="J54" s="18">
        <v>4.1767068273092373E-3</v>
      </c>
      <c r="K54" s="19">
        <f t="shared" si="1"/>
        <v>41606.240725273485</v>
      </c>
      <c r="L54" s="11">
        <v>3.5877298686838527E-3</v>
      </c>
      <c r="M54" s="11">
        <v>3.148979302343132E-3</v>
      </c>
      <c r="N54" s="21">
        <f t="shared" si="2"/>
        <v>28393.759274726515</v>
      </c>
      <c r="O54" s="21"/>
      <c r="P54" s="21">
        <f t="shared" si="3"/>
        <v>30000</v>
      </c>
      <c r="Q54" s="21">
        <f t="shared" si="7"/>
        <v>0</v>
      </c>
      <c r="R54" s="21">
        <f t="shared" si="4"/>
        <v>0</v>
      </c>
      <c r="S54" s="131">
        <f t="shared" si="5"/>
        <v>100000</v>
      </c>
      <c r="T54" s="48">
        <f t="shared" si="6"/>
        <v>7.4074074074074077E-3</v>
      </c>
    </row>
    <row r="55" spans="1:20" x14ac:dyDescent="0.25">
      <c r="A55" s="3" t="s">
        <v>10</v>
      </c>
      <c r="B55" s="9">
        <v>4265</v>
      </c>
      <c r="C55" s="10">
        <f t="shared" si="0"/>
        <v>7.4061391249746473E-4</v>
      </c>
      <c r="D55" s="10">
        <v>5.9956792317315756E-4</v>
      </c>
      <c r="E55" s="10">
        <v>0.24339972209356184</v>
      </c>
      <c r="F55" s="15">
        <v>0</v>
      </c>
      <c r="G55" s="15" t="s">
        <v>89</v>
      </c>
      <c r="H55" s="15" t="s">
        <v>88</v>
      </c>
      <c r="I55" s="9">
        <v>117</v>
      </c>
      <c r="J55" s="18">
        <v>8.5432639649507124E-4</v>
      </c>
      <c r="K55" s="19">
        <f t="shared" si="1"/>
        <v>8510.3674210786667</v>
      </c>
      <c r="L55" s="11">
        <v>8.0057765305843265E-4</v>
      </c>
      <c r="M55" s="11">
        <v>6.5671854085347489E-4</v>
      </c>
      <c r="N55" s="21">
        <f t="shared" si="2"/>
        <v>61489.63257892133</v>
      </c>
      <c r="O55" s="21"/>
      <c r="P55" s="21">
        <f t="shared" si="3"/>
        <v>30000</v>
      </c>
      <c r="Q55" s="21">
        <f t="shared" si="7"/>
        <v>0</v>
      </c>
      <c r="R55" s="21">
        <f t="shared" si="4"/>
        <v>0</v>
      </c>
      <c r="S55" s="131">
        <f t="shared" si="5"/>
        <v>100000</v>
      </c>
      <c r="T55" s="48">
        <f t="shared" si="6"/>
        <v>7.4074074074074077E-3</v>
      </c>
    </row>
    <row r="56" spans="1:20" x14ac:dyDescent="0.25">
      <c r="A56" s="3" t="s">
        <v>22</v>
      </c>
      <c r="B56" s="9">
        <v>9700</v>
      </c>
      <c r="C56" s="10">
        <f t="shared" si="0"/>
        <v>1.6843974094315141E-3</v>
      </c>
      <c r="D56" s="10">
        <v>5.7731944648071879E-4</v>
      </c>
      <c r="E56" s="10">
        <v>0.10790062906493229</v>
      </c>
      <c r="F56" s="15">
        <v>0</v>
      </c>
      <c r="G56" s="15" t="s">
        <v>2</v>
      </c>
      <c r="H56" s="15" t="s">
        <v>2</v>
      </c>
      <c r="I56" s="9">
        <v>328</v>
      </c>
      <c r="J56" s="18">
        <v>2.3950346841913107E-3</v>
      </c>
      <c r="K56" s="19">
        <f t="shared" si="1"/>
        <v>23858.124052254723</v>
      </c>
      <c r="L56" s="11">
        <v>1.4584074333575609E-3</v>
      </c>
      <c r="M56" s="11">
        <v>1.1167325256749398E-3</v>
      </c>
      <c r="N56" s="21">
        <f t="shared" si="2"/>
        <v>76141.875947745284</v>
      </c>
      <c r="O56" s="21"/>
      <c r="P56" s="21">
        <f t="shared" si="3"/>
        <v>0</v>
      </c>
      <c r="Q56" s="21">
        <f t="shared" si="7"/>
        <v>0</v>
      </c>
      <c r="R56" s="21">
        <f t="shared" si="4"/>
        <v>0</v>
      </c>
      <c r="S56" s="131">
        <f t="shared" si="5"/>
        <v>100000</v>
      </c>
      <c r="T56" s="48">
        <f t="shared" si="6"/>
        <v>7.4074074074074077E-3</v>
      </c>
    </row>
    <row r="57" spans="1:20" x14ac:dyDescent="0.25">
      <c r="A57" s="3" t="s">
        <v>57</v>
      </c>
      <c r="B57" s="9">
        <v>6324</v>
      </c>
      <c r="C57" s="10">
        <f t="shared" si="0"/>
        <v>1.0981576512623604E-3</v>
      </c>
      <c r="D57" s="10">
        <v>5.6077570740172586E-4</v>
      </c>
      <c r="E57" s="10">
        <v>0.15204949729311679</v>
      </c>
      <c r="F57" s="15">
        <v>0</v>
      </c>
      <c r="G57" s="15" t="s">
        <v>89</v>
      </c>
      <c r="H57" s="15" t="s">
        <v>88</v>
      </c>
      <c r="I57" s="9">
        <v>176</v>
      </c>
      <c r="J57" s="18">
        <v>1.285140562248996E-3</v>
      </c>
      <c r="K57" s="19">
        <f t="shared" si="1"/>
        <v>12801.920223161071</v>
      </c>
      <c r="L57" s="11">
        <v>1.082504701758059E-3</v>
      </c>
      <c r="M57" s="11">
        <v>1.0314672794755322E-3</v>
      </c>
      <c r="N57" s="21">
        <f t="shared" si="2"/>
        <v>57198.079776838931</v>
      </c>
      <c r="O57" s="21"/>
      <c r="P57" s="21">
        <f t="shared" si="3"/>
        <v>30000</v>
      </c>
      <c r="Q57" s="21">
        <f t="shared" si="7"/>
        <v>0</v>
      </c>
      <c r="R57" s="21">
        <f t="shared" si="4"/>
        <v>0</v>
      </c>
      <c r="S57" s="131">
        <f t="shared" si="5"/>
        <v>100000</v>
      </c>
      <c r="T57" s="48">
        <f t="shared" si="6"/>
        <v>7.4074074074074077E-3</v>
      </c>
    </row>
    <row r="58" spans="1:20" x14ac:dyDescent="0.25">
      <c r="A58" s="3" t="s">
        <v>36</v>
      </c>
      <c r="B58" s="9">
        <v>6243</v>
      </c>
      <c r="C58" s="10">
        <f t="shared" si="0"/>
        <v>1.0840920646475198E-3</v>
      </c>
      <c r="D58" s="10">
        <v>4.5694948283701164E-4</v>
      </c>
      <c r="E58" s="10">
        <v>0.13521269412559081</v>
      </c>
      <c r="F58" s="15">
        <v>0</v>
      </c>
      <c r="G58" s="15" t="s">
        <v>2</v>
      </c>
      <c r="H58" s="15" t="s">
        <v>2</v>
      </c>
      <c r="I58" s="9">
        <v>98</v>
      </c>
      <c r="J58" s="18">
        <v>7.1558963125228187E-4</v>
      </c>
      <c r="K58" s="19">
        <f t="shared" si="1"/>
        <v>7128.3419424419599</v>
      </c>
      <c r="L58" s="11">
        <v>5.6742279421823528E-4</v>
      </c>
      <c r="M58" s="11">
        <v>5.5645343694629538E-4</v>
      </c>
      <c r="N58" s="21">
        <f t="shared" si="2"/>
        <v>92871.658057558045</v>
      </c>
      <c r="O58" s="21"/>
      <c r="P58" s="21">
        <f t="shared" si="3"/>
        <v>0</v>
      </c>
      <c r="Q58" s="21">
        <f t="shared" si="7"/>
        <v>0</v>
      </c>
      <c r="R58" s="21">
        <f t="shared" si="4"/>
        <v>0</v>
      </c>
      <c r="S58" s="131">
        <f t="shared" si="5"/>
        <v>100000</v>
      </c>
      <c r="T58" s="48">
        <f t="shared" si="6"/>
        <v>7.4074074074074077E-3</v>
      </c>
    </row>
    <row r="59" spans="1:20" x14ac:dyDescent="0.25">
      <c r="A59" s="3" t="s">
        <v>26</v>
      </c>
      <c r="B59" s="9">
        <v>5068</v>
      </c>
      <c r="C59" s="10">
        <f t="shared" si="0"/>
        <v>8.8005423412359932E-4</v>
      </c>
      <c r="D59" s="10">
        <v>3.9590879037314117E-4</v>
      </c>
      <c r="E59" s="10">
        <v>0.14956896551724139</v>
      </c>
      <c r="F59" s="15">
        <v>0</v>
      </c>
      <c r="G59" s="15" t="s">
        <v>2</v>
      </c>
      <c r="H59" s="15" t="s">
        <v>2</v>
      </c>
      <c r="I59" s="9">
        <v>136</v>
      </c>
      <c r="J59" s="18">
        <v>9.9306316173786049E-4</v>
      </c>
      <c r="K59" s="19">
        <f t="shared" si="1"/>
        <v>9892.3928997153726</v>
      </c>
      <c r="L59" s="11">
        <v>5.9002454073845854E-4</v>
      </c>
      <c r="M59" s="11">
        <v>4.2910602114104715E-4</v>
      </c>
      <c r="N59" s="21">
        <f t="shared" si="2"/>
        <v>90107.607100284629</v>
      </c>
      <c r="O59" s="21"/>
      <c r="P59" s="21">
        <f t="shared" si="3"/>
        <v>0</v>
      </c>
      <c r="Q59" s="21">
        <f t="shared" si="7"/>
        <v>0</v>
      </c>
      <c r="R59" s="21">
        <f t="shared" si="4"/>
        <v>0</v>
      </c>
      <c r="S59" s="131">
        <f t="shared" si="5"/>
        <v>100000</v>
      </c>
      <c r="T59" s="48">
        <f t="shared" si="6"/>
        <v>7.4074074074074077E-3</v>
      </c>
    </row>
    <row r="60" spans="1:20" x14ac:dyDescent="0.25">
      <c r="A60" s="3" t="s">
        <v>6</v>
      </c>
      <c r="B60" s="9">
        <v>4908</v>
      </c>
      <c r="C60" s="10">
        <f t="shared" si="0"/>
        <v>8.5227035932885272E-4</v>
      </c>
      <c r="D60" s="10">
        <v>3.485594681815407E-4</v>
      </c>
      <c r="E60" s="10">
        <v>0.12623966942148759</v>
      </c>
      <c r="F60" s="15">
        <v>0</v>
      </c>
      <c r="G60" s="15" t="s">
        <v>89</v>
      </c>
      <c r="H60" s="15" t="s">
        <v>88</v>
      </c>
      <c r="I60" s="9">
        <v>102</v>
      </c>
      <c r="J60" s="18">
        <v>7.4479737130339542E-4</v>
      </c>
      <c r="K60" s="19">
        <f t="shared" si="1"/>
        <v>7419.2946747865299</v>
      </c>
      <c r="L60" s="11">
        <v>5.0199668587022075E-4</v>
      </c>
      <c r="M60" s="11">
        <v>3.9951914584590088E-4</v>
      </c>
      <c r="N60" s="21">
        <f t="shared" si="2"/>
        <v>62580.705325213472</v>
      </c>
      <c r="O60" s="21"/>
      <c r="P60" s="21">
        <f t="shared" si="3"/>
        <v>30000</v>
      </c>
      <c r="Q60" s="21">
        <f t="shared" si="7"/>
        <v>0</v>
      </c>
      <c r="R60" s="21">
        <f t="shared" si="4"/>
        <v>0</v>
      </c>
      <c r="S60" s="131">
        <f t="shared" si="5"/>
        <v>100000</v>
      </c>
      <c r="T60" s="48">
        <f t="shared" si="6"/>
        <v>7.4074074074074077E-3</v>
      </c>
    </row>
    <row r="61" spans="1:20" x14ac:dyDescent="0.25">
      <c r="A61" s="3" t="s">
        <v>16</v>
      </c>
      <c r="B61" s="9">
        <v>3581</v>
      </c>
      <c r="C61" s="10">
        <f t="shared" si="0"/>
        <v>6.2183784774992286E-4</v>
      </c>
      <c r="D61" s="10">
        <v>2.9949872470590649E-4</v>
      </c>
      <c r="E61" s="10">
        <v>0.14734774066797643</v>
      </c>
      <c r="F61" s="15">
        <v>0</v>
      </c>
      <c r="G61" s="15" t="s">
        <v>2</v>
      </c>
      <c r="H61" s="15" t="s">
        <v>2</v>
      </c>
      <c r="I61" s="9">
        <v>66</v>
      </c>
      <c r="J61" s="18">
        <v>4.8192771084337347E-4</v>
      </c>
      <c r="K61" s="19">
        <f t="shared" si="1"/>
        <v>4800.7200836854017</v>
      </c>
      <c r="L61" s="11">
        <v>2.7954791748697127E-4</v>
      </c>
      <c r="M61" s="11">
        <v>1.6298927953288956E-4</v>
      </c>
      <c r="N61" s="21">
        <f t="shared" si="2"/>
        <v>95199.279916314597</v>
      </c>
      <c r="O61" s="21"/>
      <c r="P61" s="21">
        <f t="shared" si="3"/>
        <v>0</v>
      </c>
      <c r="Q61" s="21">
        <f t="shared" si="7"/>
        <v>0</v>
      </c>
      <c r="R61" s="21">
        <f t="shared" si="4"/>
        <v>0</v>
      </c>
      <c r="S61" s="131">
        <f t="shared" si="5"/>
        <v>100000</v>
      </c>
      <c r="T61" s="48">
        <f t="shared" si="6"/>
        <v>7.4074074074074077E-3</v>
      </c>
    </row>
    <row r="62" spans="1:20" x14ac:dyDescent="0.25">
      <c r="A62" s="3" t="s">
        <v>21</v>
      </c>
      <c r="B62" s="9">
        <v>1831</v>
      </c>
      <c r="C62" s="10">
        <f t="shared" si="0"/>
        <v>3.179517171823817E-4</v>
      </c>
      <c r="D62" s="10">
        <v>2.6241793021850859E-4</v>
      </c>
      <c r="E62" s="10">
        <v>0.22560078469838157</v>
      </c>
      <c r="F62" s="15">
        <v>0</v>
      </c>
      <c r="G62" s="15" t="s">
        <v>88</v>
      </c>
      <c r="H62" s="15" t="s">
        <v>88</v>
      </c>
      <c r="I62" s="9">
        <v>54</v>
      </c>
      <c r="J62" s="18">
        <v>3.9430449069003287E-4</v>
      </c>
      <c r="K62" s="19">
        <f t="shared" si="1"/>
        <v>3927.8618866516922</v>
      </c>
      <c r="L62" s="11">
        <v>3.3307836977171048E-4</v>
      </c>
      <c r="M62" s="11">
        <v>3.2135474971732835E-4</v>
      </c>
      <c r="N62" s="21">
        <f t="shared" si="2"/>
        <v>36072.138113348308</v>
      </c>
      <c r="O62" s="21"/>
      <c r="P62" s="21">
        <f t="shared" si="3"/>
        <v>60000</v>
      </c>
      <c r="Q62" s="21">
        <f t="shared" si="7"/>
        <v>0</v>
      </c>
      <c r="R62" s="21">
        <f t="shared" si="4"/>
        <v>0</v>
      </c>
      <c r="S62" s="131">
        <f t="shared" si="5"/>
        <v>100000</v>
      </c>
      <c r="T62" s="48">
        <f t="shared" si="6"/>
        <v>7.4074074074074077E-3</v>
      </c>
    </row>
    <row r="63" spans="1:20" x14ac:dyDescent="0.25">
      <c r="A63" s="3" t="s">
        <v>63</v>
      </c>
      <c r="B63" s="9">
        <v>2248</v>
      </c>
      <c r="C63" s="10">
        <f t="shared" si="0"/>
        <v>3.9036344086619009E-4</v>
      </c>
      <c r="D63" s="10">
        <v>2.3731708471934687E-4</v>
      </c>
      <c r="E63" s="10">
        <v>0.17702127659574468</v>
      </c>
      <c r="F63" s="15">
        <v>0</v>
      </c>
      <c r="G63" s="15" t="s">
        <v>88</v>
      </c>
      <c r="H63" s="15" t="s">
        <v>88</v>
      </c>
      <c r="I63" s="9">
        <v>61</v>
      </c>
      <c r="J63" s="18">
        <v>4.4541803577948159E-4</v>
      </c>
      <c r="K63" s="19">
        <f t="shared" si="1"/>
        <v>4437.0291682546895</v>
      </c>
      <c r="L63" s="11">
        <v>3.1047662325148727E-4</v>
      </c>
      <c r="M63" s="11">
        <v>1.7768638781903666E-4</v>
      </c>
      <c r="N63" s="21">
        <f t="shared" si="2"/>
        <v>35562.970831745311</v>
      </c>
      <c r="O63" s="21"/>
      <c r="P63" s="21">
        <f t="shared" si="3"/>
        <v>60000</v>
      </c>
      <c r="Q63" s="21">
        <f t="shared" si="7"/>
        <v>0</v>
      </c>
      <c r="R63" s="21">
        <f t="shared" si="4"/>
        <v>0</v>
      </c>
      <c r="S63" s="131">
        <f t="shared" si="5"/>
        <v>100000</v>
      </c>
      <c r="T63" s="48">
        <f t="shared" si="6"/>
        <v>7.4074074074074077E-3</v>
      </c>
    </row>
    <row r="64" spans="1:20" x14ac:dyDescent="0.25">
      <c r="A64" s="3" t="s">
        <v>52</v>
      </c>
      <c r="B64" s="9">
        <v>4952</v>
      </c>
      <c r="C64" s="110">
        <f t="shared" si="0"/>
        <v>8.5991092489740809E-4</v>
      </c>
      <c r="D64" s="110">
        <v>1.831220773916114E-4</v>
      </c>
      <c r="E64" s="110">
        <v>6.7979669631512071E-2</v>
      </c>
      <c r="F64" s="15">
        <v>0</v>
      </c>
      <c r="G64" s="15" t="s">
        <v>2</v>
      </c>
      <c r="H64" s="15" t="s">
        <v>2</v>
      </c>
      <c r="I64" s="9">
        <v>283</v>
      </c>
      <c r="J64" s="18">
        <v>2.0664476086162831E-3</v>
      </c>
      <c r="K64" s="19">
        <f t="shared" si="1"/>
        <v>20584.905813378311</v>
      </c>
      <c r="L64" s="11">
        <v>1.381085668946271E-3</v>
      </c>
      <c r="M64" s="11">
        <v>1.1657779319781498E-3</v>
      </c>
      <c r="N64" s="21">
        <f t="shared" si="2"/>
        <v>79415.094186621689</v>
      </c>
      <c r="O64" s="21"/>
      <c r="P64" s="21">
        <f t="shared" si="3"/>
        <v>0</v>
      </c>
      <c r="Q64" s="21">
        <f t="shared" si="7"/>
        <v>0</v>
      </c>
      <c r="R64" s="21">
        <f t="shared" si="4"/>
        <v>0</v>
      </c>
      <c r="S64" s="131">
        <f t="shared" si="5"/>
        <v>100000</v>
      </c>
      <c r="T64" s="48">
        <f t="shared" si="6"/>
        <v>7.4074074074074077E-3</v>
      </c>
    </row>
    <row r="65" spans="1:20" x14ac:dyDescent="0.25">
      <c r="A65" s="3" t="s">
        <v>3</v>
      </c>
      <c r="B65" s="9">
        <v>1392</v>
      </c>
      <c r="C65" s="10">
        <f t="shared" si="0"/>
        <v>2.4171971071429565E-4</v>
      </c>
      <c r="D65" s="10">
        <v>1.477527041882472E-4</v>
      </c>
      <c r="E65" s="10">
        <v>0.19984567901234568</v>
      </c>
      <c r="F65" s="15">
        <v>0</v>
      </c>
      <c r="G65" s="15" t="s">
        <v>88</v>
      </c>
      <c r="H65" s="15" t="s">
        <v>88</v>
      </c>
      <c r="I65" s="9">
        <v>62</v>
      </c>
      <c r="J65" s="18">
        <v>4.5271997079225998E-4</v>
      </c>
      <c r="K65" s="19">
        <f t="shared" si="1"/>
        <v>4509.7673513408317</v>
      </c>
      <c r="L65" s="11">
        <v>2.7478965506166111E-4</v>
      </c>
      <c r="M65" s="11">
        <v>2.2700702086917817E-4</v>
      </c>
      <c r="N65" s="21">
        <f t="shared" si="2"/>
        <v>35490.23264865917</v>
      </c>
      <c r="O65" s="21"/>
      <c r="P65" s="21">
        <f t="shared" si="3"/>
        <v>60000</v>
      </c>
      <c r="Q65" s="21">
        <f t="shared" si="7"/>
        <v>0</v>
      </c>
      <c r="R65" s="21">
        <f t="shared" si="4"/>
        <v>0</v>
      </c>
      <c r="S65" s="131">
        <f t="shared" si="5"/>
        <v>100000</v>
      </c>
      <c r="T65" s="48">
        <f t="shared" si="6"/>
        <v>7.4074074074074077E-3</v>
      </c>
    </row>
    <row r="66" spans="1:20" x14ac:dyDescent="0.25">
      <c r="A66" s="3" t="s">
        <v>41</v>
      </c>
      <c r="B66" s="9">
        <v>1406</v>
      </c>
      <c r="C66" s="10">
        <f t="shared" si="0"/>
        <v>2.4415079975883598E-4</v>
      </c>
      <c r="D66" s="10">
        <v>1.0781954089412634E-4</v>
      </c>
      <c r="E66" s="10">
        <v>0.13043478260869565</v>
      </c>
      <c r="F66" s="15">
        <v>0</v>
      </c>
      <c r="G66" s="15" t="s">
        <v>88</v>
      </c>
      <c r="H66" s="15" t="s">
        <v>88</v>
      </c>
      <c r="I66" s="9">
        <v>29</v>
      </c>
      <c r="J66" s="18">
        <v>2.1175611537057321E-4</v>
      </c>
      <c r="K66" s="19">
        <f t="shared" si="1"/>
        <v>2109.4073094981309</v>
      </c>
      <c r="L66" s="11">
        <v>2.5575660536042053E-4</v>
      </c>
      <c r="M66" s="11">
        <v>1.6315441558104851E-4</v>
      </c>
      <c r="N66" s="21">
        <f t="shared" si="2"/>
        <v>37890.592690501871</v>
      </c>
      <c r="O66" s="21"/>
      <c r="P66" s="21">
        <f t="shared" si="3"/>
        <v>60000</v>
      </c>
      <c r="Q66" s="21">
        <f t="shared" si="7"/>
        <v>0</v>
      </c>
      <c r="R66" s="21">
        <f t="shared" si="4"/>
        <v>0</v>
      </c>
      <c r="S66" s="131">
        <f t="shared" si="5"/>
        <v>100000</v>
      </c>
      <c r="T66" s="48">
        <f t="shared" si="6"/>
        <v>7.4074074074074077E-3</v>
      </c>
    </row>
    <row r="67" spans="1:20" x14ac:dyDescent="0.25">
      <c r="A67" s="3" t="s">
        <v>29</v>
      </c>
      <c r="B67" s="9">
        <v>2055</v>
      </c>
      <c r="C67" s="10">
        <f t="shared" si="0"/>
        <v>3.5684914189502699E-4</v>
      </c>
      <c r="D67" s="10">
        <v>9.5269118144545496E-5</v>
      </c>
      <c r="E67" s="10">
        <v>9.0711569799022271E-2</v>
      </c>
      <c r="F67" s="15">
        <v>0</v>
      </c>
      <c r="G67" s="15" t="s">
        <v>2</v>
      </c>
      <c r="H67" s="15" t="s">
        <v>2</v>
      </c>
      <c r="I67" s="9">
        <v>53</v>
      </c>
      <c r="J67" s="18">
        <v>3.8700255567725449E-4</v>
      </c>
      <c r="K67" s="19">
        <f t="shared" si="1"/>
        <v>3855.1237035655499</v>
      </c>
      <c r="L67" s="11">
        <v>2.8787487673126406E-4</v>
      </c>
      <c r="M67" s="11">
        <v>2.5890580083854986E-4</v>
      </c>
      <c r="N67" s="21">
        <f t="shared" si="2"/>
        <v>96144.87629643445</v>
      </c>
      <c r="O67" s="21"/>
      <c r="P67" s="21">
        <f t="shared" si="3"/>
        <v>0</v>
      </c>
      <c r="Q67" s="21">
        <f t="shared" si="7"/>
        <v>0</v>
      </c>
      <c r="R67" s="21">
        <f t="shared" si="4"/>
        <v>0</v>
      </c>
      <c r="S67" s="131">
        <f t="shared" si="5"/>
        <v>100000</v>
      </c>
      <c r="T67" s="48">
        <f t="shared" si="6"/>
        <v>7.4074074074074077E-3</v>
      </c>
    </row>
    <row r="68" spans="1:20" x14ac:dyDescent="0.25">
      <c r="A68" s="3" t="s">
        <v>47</v>
      </c>
      <c r="B68" s="9">
        <v>769</v>
      </c>
      <c r="C68" s="10">
        <f t="shared" si="0"/>
        <v>1.3353624823225096E-4</v>
      </c>
      <c r="D68" s="10">
        <v>6.2181639986559631E-5</v>
      </c>
      <c r="E68" s="10">
        <v>0.1324422843256379</v>
      </c>
      <c r="F68" s="15">
        <v>0</v>
      </c>
      <c r="G68" s="15" t="s">
        <v>88</v>
      </c>
      <c r="H68" s="15" t="s">
        <v>88</v>
      </c>
      <c r="I68" s="9">
        <v>62</v>
      </c>
      <c r="J68" s="18">
        <v>4.5271997079225998E-4</v>
      </c>
      <c r="K68" s="19">
        <f t="shared" si="1"/>
        <v>4509.7673513408317</v>
      </c>
      <c r="L68" s="11">
        <v>2.3077572762754224E-4</v>
      </c>
      <c r="M68" s="11">
        <v>2.0259440841634586E-4</v>
      </c>
      <c r="N68" s="21">
        <f t="shared" si="2"/>
        <v>35490.23264865917</v>
      </c>
      <c r="O68" s="21"/>
      <c r="P68" s="21">
        <f t="shared" si="3"/>
        <v>60000</v>
      </c>
      <c r="Q68" s="21">
        <f t="shared" si="7"/>
        <v>0</v>
      </c>
      <c r="R68" s="21">
        <f t="shared" si="4"/>
        <v>0</v>
      </c>
      <c r="S68" s="131">
        <f t="shared" si="5"/>
        <v>100000</v>
      </c>
      <c r="T68" s="48">
        <f t="shared" si="6"/>
        <v>7.4074074074074077E-3</v>
      </c>
    </row>
    <row r="69" spans="1:20" x14ac:dyDescent="0.25">
      <c r="A69" s="3" t="s">
        <v>39</v>
      </c>
      <c r="B69" s="9">
        <v>820</v>
      </c>
      <c r="C69" s="10">
        <f t="shared" si="0"/>
        <v>1.4239235832307645E-4</v>
      </c>
      <c r="D69" s="10">
        <v>4.9060743475634208E-5</v>
      </c>
      <c r="E69" s="10">
        <v>9.7949886104783598E-2</v>
      </c>
      <c r="F69" s="15">
        <v>0</v>
      </c>
      <c r="G69" s="15" t="s">
        <v>89</v>
      </c>
      <c r="H69" s="15" t="s">
        <v>88</v>
      </c>
      <c r="I69" s="9">
        <v>68</v>
      </c>
      <c r="J69" s="18">
        <v>4.9653158086893025E-4</v>
      </c>
      <c r="K69" s="19">
        <f t="shared" si="1"/>
        <v>4946.1964498576863</v>
      </c>
      <c r="L69" s="11">
        <v>1.2966265108970158E-4</v>
      </c>
      <c r="M69" s="11">
        <v>1.2261351575802482E-4</v>
      </c>
      <c r="N69" s="21">
        <f t="shared" si="2"/>
        <v>65053.803550142315</v>
      </c>
      <c r="O69" s="21"/>
      <c r="P69" s="21">
        <f t="shared" si="3"/>
        <v>30000</v>
      </c>
      <c r="Q69" s="21">
        <f t="shared" si="7"/>
        <v>0</v>
      </c>
      <c r="R69" s="21">
        <f t="shared" si="4"/>
        <v>0</v>
      </c>
      <c r="S69" s="131">
        <f t="shared" si="5"/>
        <v>100000</v>
      </c>
      <c r="T69" s="48">
        <f t="shared" si="6"/>
        <v>7.4074074074074077E-3</v>
      </c>
    </row>
    <row r="70" spans="1:20" x14ac:dyDescent="0.25">
      <c r="A70" s="3" t="s">
        <v>61</v>
      </c>
      <c r="B70" s="9">
        <v>728</v>
      </c>
      <c r="C70" s="10">
        <f t="shared" si="0"/>
        <v>1.2641663031609713E-4</v>
      </c>
      <c r="D70" s="10">
        <v>3.1376056873952114E-5</v>
      </c>
      <c r="E70" s="10">
        <v>0.10110294117647059</v>
      </c>
      <c r="F70" s="15">
        <v>0</v>
      </c>
      <c r="G70" s="15" t="s">
        <v>89</v>
      </c>
      <c r="H70" s="15" t="s">
        <v>88</v>
      </c>
      <c r="I70" s="9">
        <v>72</v>
      </c>
      <c r="J70" s="18">
        <v>5.257393209200438E-4</v>
      </c>
      <c r="K70" s="19">
        <f t="shared" si="1"/>
        <v>5237.1491822022563</v>
      </c>
      <c r="L70" s="11">
        <v>2.6170443339205822E-4</v>
      </c>
      <c r="M70" s="11">
        <v>1.6937454006170255E-4</v>
      </c>
      <c r="N70" s="21">
        <f t="shared" si="2"/>
        <v>64762.850817797742</v>
      </c>
      <c r="O70" s="21"/>
      <c r="P70" s="21">
        <f t="shared" si="3"/>
        <v>30000</v>
      </c>
      <c r="Q70" s="21">
        <f t="shared" si="7"/>
        <v>0</v>
      </c>
      <c r="R70" s="21">
        <f t="shared" si="4"/>
        <v>0</v>
      </c>
      <c r="S70" s="131">
        <f t="shared" si="5"/>
        <v>100000</v>
      </c>
      <c r="T70" s="109">
        <f t="shared" si="6"/>
        <v>7.4074074074074077E-3</v>
      </c>
    </row>
    <row r="71" spans="1:20" ht="15.75" thickBot="1" x14ac:dyDescent="0.3">
      <c r="A71" s="4" t="s">
        <v>67</v>
      </c>
      <c r="B71" s="9">
        <v>5758736</v>
      </c>
      <c r="C71" s="12">
        <f t="shared" ref="C71" si="8">B71/$B$71</f>
        <v>1</v>
      </c>
      <c r="D71" s="12">
        <f>SUM(D7:D70)</f>
        <v>0.99999999999999989</v>
      </c>
      <c r="E71" s="12"/>
      <c r="F71" s="127">
        <f>SUM(F7:F70)</f>
        <v>76</v>
      </c>
      <c r="G71" s="127">
        <f>COUNTIF(G7:G70,"x")</f>
        <v>12</v>
      </c>
      <c r="H71" s="127">
        <f>COUNTIF(H7:H70,"x")</f>
        <v>23</v>
      </c>
      <c r="I71" s="14">
        <v>136950</v>
      </c>
      <c r="J71" s="20">
        <v>1</v>
      </c>
      <c r="K71" s="23">
        <f t="shared" ref="K71" si="9">J71*$K$4</f>
        <v>9961494.1736472081</v>
      </c>
      <c r="L71" s="12">
        <v>1</v>
      </c>
      <c r="M71" s="12">
        <v>1</v>
      </c>
      <c r="N71" s="23">
        <f>SUM(N6:N70)</f>
        <v>2488505.8263527923</v>
      </c>
      <c r="O71" s="23"/>
      <c r="P71" s="23">
        <f>SUM(P6:P70)</f>
        <v>1050000</v>
      </c>
      <c r="Q71" s="23">
        <f>SUM(Q6:Q70)</f>
        <v>0</v>
      </c>
      <c r="R71" s="128">
        <f t="shared" ref="R71" si="10">$R$4*D71</f>
        <v>0</v>
      </c>
      <c r="S71" s="132">
        <f t="shared" ref="S71" si="11">N71+K71+P71+R71+Q71</f>
        <v>13500000</v>
      </c>
      <c r="T71" s="129">
        <f t="shared" ref="T71" si="12">S71/$S$71</f>
        <v>1</v>
      </c>
    </row>
    <row r="72" spans="1:20" x14ac:dyDescent="0.25">
      <c r="D72" s="47" t="s">
        <v>117</v>
      </c>
      <c r="E72" s="10"/>
      <c r="Q72" s="21"/>
      <c r="T72" s="28"/>
    </row>
    <row r="74" spans="1:20" x14ac:dyDescent="0.25">
      <c r="F74" s="9"/>
      <c r="G74" s="9">
        <f>SUMIF(G6:G70,"x",$I$6:$I$70)</f>
        <v>1924</v>
      </c>
      <c r="H74" s="9">
        <f>SUMIF(H6:H70,"x",$I$6:$I$70)</f>
        <v>6663</v>
      </c>
      <c r="J74" s="1" t="s">
        <v>1</v>
      </c>
    </row>
    <row r="75" spans="1:20" x14ac:dyDescent="0.25">
      <c r="F75" s="48"/>
      <c r="G75" s="48">
        <f>G74/$I$71</f>
        <v>1.4048922964585615E-2</v>
      </c>
      <c r="H75" s="48">
        <f>H74/$I$71</f>
        <v>4.8652792990142385E-2</v>
      </c>
    </row>
    <row r="76" spans="1:20" x14ac:dyDescent="0.25">
      <c r="G76" t="s">
        <v>228</v>
      </c>
      <c r="H76" t="s">
        <v>228</v>
      </c>
    </row>
    <row r="78" spans="1:20" x14ac:dyDescent="0.25">
      <c r="J78" t="s">
        <v>289</v>
      </c>
    </row>
    <row r="79" spans="1:20" ht="30" x14ac:dyDescent="0.25">
      <c r="J79" s="135" t="s">
        <v>288</v>
      </c>
      <c r="K79" s="137">
        <f>K4</f>
        <v>9961494.1736472081</v>
      </c>
    </row>
    <row r="80" spans="1:20" ht="30" x14ac:dyDescent="0.25">
      <c r="J80" s="135" t="str">
        <f>P6</f>
        <v>Distressed/Underserved</v>
      </c>
      <c r="K80" s="137">
        <f>P5</f>
        <v>1050000</v>
      </c>
      <c r="L80" s="138">
        <f>P4</f>
        <v>30000</v>
      </c>
      <c r="M80" s="139" t="s">
        <v>287</v>
      </c>
    </row>
    <row r="81" spans="10:13" ht="30" x14ac:dyDescent="0.25">
      <c r="J81" s="135" t="s">
        <v>284</v>
      </c>
      <c r="K81" s="137">
        <f>Q5</f>
        <v>0</v>
      </c>
      <c r="L81" s="138">
        <f>Q4</f>
        <v>0</v>
      </c>
      <c r="M81" s="139" t="s">
        <v>286</v>
      </c>
    </row>
    <row r="82" spans="10:13" ht="45" x14ac:dyDescent="0.25">
      <c r="J82" s="135" t="str">
        <f>N6</f>
        <v>Additional amount needed to reach Minimum/county</v>
      </c>
      <c r="K82" s="137">
        <f>N5</f>
        <v>2488505.8263527923</v>
      </c>
      <c r="L82" s="138">
        <f>N4</f>
        <v>100000</v>
      </c>
    </row>
    <row r="83" spans="10:13" x14ac:dyDescent="0.25">
      <c r="J83" s="136" t="s">
        <v>285</v>
      </c>
      <c r="K83" s="137">
        <f>SUM(K79:K82)</f>
        <v>13500000</v>
      </c>
      <c r="L83" t="s">
        <v>295</v>
      </c>
    </row>
  </sheetData>
  <autoFilter ref="A6:U70" xr:uid="{00000000-0009-0000-0000-000000000000}">
    <sortState xmlns:xlrd2="http://schemas.microsoft.com/office/spreadsheetml/2017/richdata2" ref="A6:U71">
      <sortCondition descending="1" ref="E5:E69"/>
    </sortState>
  </autoFilter>
  <pageMargins left="0.25" right="0.25" top="0.75" bottom="0.75" header="0.3" footer="0.3"/>
  <pageSetup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2"/>
  <sheetViews>
    <sheetView showGridLines="0" tabSelected="1" zoomScale="130" zoomScaleNormal="130" workbookViewId="0"/>
  </sheetViews>
  <sheetFormatPr defaultRowHeight="15" x14ac:dyDescent="0.25"/>
  <cols>
    <col min="10" max="10" width="11.140625" customWidth="1"/>
    <col min="11" max="14" width="19.28515625" customWidth="1"/>
    <col min="15" max="15" width="38.5703125" bestFit="1" customWidth="1"/>
    <col min="16" max="19" width="10.42578125" customWidth="1"/>
  </cols>
  <sheetData>
    <row r="1" spans="1:19" x14ac:dyDescent="0.25">
      <c r="A1" s="102" t="s">
        <v>237</v>
      </c>
    </row>
    <row r="3" spans="1:19" ht="31.5" x14ac:dyDescent="0.5">
      <c r="A3" s="103" t="s">
        <v>251</v>
      </c>
      <c r="O3" t="s">
        <v>238</v>
      </c>
    </row>
    <row r="4" spans="1:19" x14ac:dyDescent="0.25">
      <c r="A4" t="str">
        <f>"Number of Loans as percent of total approved as of:  "&amp;TEXT(Q4,"mm/dd/yyyy")</f>
        <v>Number of Loans as percent of total approved as of:  06/30/2023</v>
      </c>
      <c r="O4" t="s">
        <v>239</v>
      </c>
      <c r="Q4" s="106">
        <v>45107</v>
      </c>
      <c r="R4" s="106"/>
    </row>
    <row r="5" spans="1:19" x14ac:dyDescent="0.25">
      <c r="O5" t="s">
        <v>240</v>
      </c>
      <c r="Q5" s="104">
        <v>49</v>
      </c>
      <c r="R5" s="104"/>
    </row>
    <row r="6" spans="1:19" x14ac:dyDescent="0.25">
      <c r="O6" t="s">
        <v>253</v>
      </c>
      <c r="Q6" s="104">
        <v>18</v>
      </c>
      <c r="R6" s="104"/>
    </row>
    <row r="7" spans="1:19" x14ac:dyDescent="0.25">
      <c r="P7">
        <v>1</v>
      </c>
      <c r="Q7">
        <v>2</v>
      </c>
      <c r="R7">
        <v>3</v>
      </c>
      <c r="S7">
        <v>4</v>
      </c>
    </row>
    <row r="8" spans="1:19" x14ac:dyDescent="0.25">
      <c r="O8" t="s">
        <v>252</v>
      </c>
      <c r="P8" s="28"/>
      <c r="Q8" s="28">
        <f>Q6/Q5</f>
        <v>0.36734693877551022</v>
      </c>
      <c r="R8" s="28"/>
      <c r="S8" s="28"/>
    </row>
    <row r="9" spans="1:19" x14ac:dyDescent="0.25">
      <c r="O9" t="s">
        <v>241</v>
      </c>
      <c r="P9" s="108">
        <f>'W-V-M-R Targets'!R17</f>
        <v>0.21333333333333335</v>
      </c>
      <c r="Q9" s="105">
        <f t="shared" ref="Q9:R9" si="0">P9</f>
        <v>0.21333333333333335</v>
      </c>
      <c r="R9" s="105">
        <f t="shared" si="0"/>
        <v>0.21333333333333335</v>
      </c>
      <c r="S9" s="105"/>
    </row>
    <row r="10" spans="1:19" x14ac:dyDescent="0.25">
      <c r="O10" t="s">
        <v>242</v>
      </c>
      <c r="P10" s="108">
        <f>'W-V-M-R Targets'!P17</f>
        <v>0.18</v>
      </c>
      <c r="Q10" s="105">
        <f t="shared" ref="Q10:R10" si="1">P10</f>
        <v>0.18</v>
      </c>
      <c r="R10" s="105">
        <f t="shared" si="1"/>
        <v>0.18</v>
      </c>
      <c r="S10" s="105"/>
    </row>
    <row r="11" spans="1:19" x14ac:dyDescent="0.25">
      <c r="O11" t="s">
        <v>168</v>
      </c>
      <c r="P11" s="108">
        <f>'W-V-M-R Targets'!M17</f>
        <v>0.12389562358742549</v>
      </c>
      <c r="Q11" s="105">
        <f t="shared" ref="Q11:R11" si="2">P11</f>
        <v>0.12389562358742549</v>
      </c>
      <c r="R11" s="105">
        <f t="shared" si="2"/>
        <v>0.12389562358742549</v>
      </c>
      <c r="S11" s="105"/>
    </row>
    <row r="20" spans="15:19" x14ac:dyDescent="0.25">
      <c r="Q20" s="140">
        <f>$Q$4</f>
        <v>45107</v>
      </c>
      <c r="R20" s="106"/>
    </row>
    <row r="21" spans="15:19" x14ac:dyDescent="0.25">
      <c r="O21" t="s">
        <v>240</v>
      </c>
      <c r="Q21" s="141">
        <f>$Q$5</f>
        <v>49</v>
      </c>
      <c r="R21" s="104"/>
    </row>
    <row r="22" spans="15:19" x14ac:dyDescent="0.25">
      <c r="O22" t="s">
        <v>255</v>
      </c>
      <c r="Q22" s="104">
        <v>12</v>
      </c>
      <c r="R22" s="104"/>
    </row>
    <row r="23" spans="15:19" x14ac:dyDescent="0.25">
      <c r="P23">
        <v>1</v>
      </c>
      <c r="Q23">
        <v>2</v>
      </c>
      <c r="R23">
        <v>3</v>
      </c>
      <c r="S23">
        <v>4</v>
      </c>
    </row>
    <row r="24" spans="15:19" x14ac:dyDescent="0.25">
      <c r="O24" t="s">
        <v>254</v>
      </c>
      <c r="P24" s="28"/>
      <c r="Q24" s="28">
        <f>Q22/Q21</f>
        <v>0.24489795918367346</v>
      </c>
      <c r="R24" s="28"/>
      <c r="S24" s="28"/>
    </row>
    <row r="25" spans="15:19" x14ac:dyDescent="0.25">
      <c r="O25" t="s">
        <v>249</v>
      </c>
      <c r="P25" s="108">
        <f>'W-V-M-R Targets'!R15</f>
        <v>0.35333333333333333</v>
      </c>
      <c r="Q25" s="105">
        <f>P25</f>
        <v>0.35333333333333333</v>
      </c>
      <c r="R25" s="105">
        <f>Q25</f>
        <v>0.35333333333333333</v>
      </c>
      <c r="S25" s="105"/>
    </row>
    <row r="26" spans="15:19" x14ac:dyDescent="0.25">
      <c r="O26" t="s">
        <v>250</v>
      </c>
      <c r="P26" s="108">
        <f>'W-V-M-R Targets'!P15</f>
        <v>0.39</v>
      </c>
      <c r="Q26" s="105">
        <f>P26</f>
        <v>0.39</v>
      </c>
      <c r="R26" s="105">
        <f>Q26</f>
        <v>0.39</v>
      </c>
      <c r="S26" s="105"/>
    </row>
    <row r="41" spans="15:19" x14ac:dyDescent="0.25">
      <c r="Q41" s="140">
        <f>$Q$4</f>
        <v>45107</v>
      </c>
      <c r="R41" s="106"/>
    </row>
    <row r="42" spans="15:19" x14ac:dyDescent="0.25">
      <c r="O42" t="s">
        <v>240</v>
      </c>
      <c r="Q42" s="141">
        <f>$Q$5</f>
        <v>49</v>
      </c>
      <c r="R42" s="104"/>
    </row>
    <row r="43" spans="15:19" x14ac:dyDescent="0.25">
      <c r="O43" t="s">
        <v>256</v>
      </c>
      <c r="Q43" s="104">
        <v>3</v>
      </c>
      <c r="R43" s="104"/>
    </row>
    <row r="44" spans="15:19" x14ac:dyDescent="0.25">
      <c r="P44">
        <v>1</v>
      </c>
      <c r="Q44">
        <v>2</v>
      </c>
      <c r="R44">
        <v>3</v>
      </c>
      <c r="S44">
        <v>4</v>
      </c>
    </row>
    <row r="45" spans="15:19" x14ac:dyDescent="0.25">
      <c r="O45" t="s">
        <v>257</v>
      </c>
      <c r="P45" s="28"/>
      <c r="Q45" s="28">
        <f>Q43/Q42</f>
        <v>6.1224489795918366E-2</v>
      </c>
      <c r="R45" s="28"/>
      <c r="S45" s="28"/>
    </row>
    <row r="46" spans="15:19" x14ac:dyDescent="0.25">
      <c r="P46" s="108"/>
      <c r="Q46" s="105"/>
      <c r="R46" s="105"/>
      <c r="S46" s="105"/>
    </row>
    <row r="47" spans="15:19" x14ac:dyDescent="0.25">
      <c r="O47" t="s">
        <v>258</v>
      </c>
      <c r="P47" s="108">
        <f>'W-V-M-R Targets'!P16</f>
        <v>0.09</v>
      </c>
      <c r="Q47" s="105">
        <f>P47</f>
        <v>0.09</v>
      </c>
      <c r="R47" s="105">
        <f>Q47</f>
        <v>0.09</v>
      </c>
      <c r="S47" s="105"/>
    </row>
    <row r="58" spans="15:19" x14ac:dyDescent="0.25">
      <c r="Q58" s="140">
        <f>$Q$4</f>
        <v>45107</v>
      </c>
      <c r="R58" s="106"/>
    </row>
    <row r="59" spans="15:19" x14ac:dyDescent="0.25">
      <c r="O59" t="s">
        <v>240</v>
      </c>
      <c r="Q59" s="141">
        <f>$Q$5</f>
        <v>49</v>
      </c>
      <c r="R59" s="104"/>
    </row>
    <row r="60" spans="15:19" x14ac:dyDescent="0.25">
      <c r="O60" t="s">
        <v>259</v>
      </c>
      <c r="Q60" s="104">
        <v>9</v>
      </c>
      <c r="R60" s="104"/>
    </row>
    <row r="61" spans="15:19" x14ac:dyDescent="0.25">
      <c r="P61">
        <v>1</v>
      </c>
      <c r="Q61">
        <v>2</v>
      </c>
      <c r="R61">
        <v>3</v>
      </c>
      <c r="S61">
        <v>4</v>
      </c>
    </row>
    <row r="62" spans="15:19" x14ac:dyDescent="0.25">
      <c r="O62" t="s">
        <v>260</v>
      </c>
      <c r="P62" s="28"/>
      <c r="Q62" s="28">
        <f>Q60/Q59</f>
        <v>0.18367346938775511</v>
      </c>
      <c r="R62" s="28"/>
      <c r="S62" s="28"/>
    </row>
    <row r="63" spans="15:19" x14ac:dyDescent="0.25">
      <c r="P63" s="108"/>
      <c r="Q63" s="105"/>
      <c r="R63" s="105"/>
      <c r="S63" s="105"/>
    </row>
    <row r="64" spans="15:19" x14ac:dyDescent="0.25">
      <c r="O64" t="s">
        <v>261</v>
      </c>
      <c r="P64" s="108">
        <f>'W-V-M-R Targets'!P18</f>
        <v>0.15</v>
      </c>
      <c r="Q64" s="105">
        <f>P64</f>
        <v>0.15</v>
      </c>
      <c r="R64" s="105">
        <f>Q64</f>
        <v>0.15</v>
      </c>
      <c r="S64" s="105"/>
    </row>
    <row r="73" spans="10:14" x14ac:dyDescent="0.25">
      <c r="J73" s="70" t="s">
        <v>222</v>
      </c>
    </row>
    <row r="74" spans="10:14" ht="45" x14ac:dyDescent="0.25">
      <c r="J74" s="119"/>
      <c r="K74" s="121" t="s">
        <v>273</v>
      </c>
      <c r="L74" s="122" t="s">
        <v>275</v>
      </c>
      <c r="M74" s="122" t="s">
        <v>277</v>
      </c>
      <c r="N74" s="122" t="s">
        <v>278</v>
      </c>
    </row>
    <row r="75" spans="10:14" x14ac:dyDescent="0.25">
      <c r="J75" s="119" t="s">
        <v>216</v>
      </c>
      <c r="K75" s="52">
        <v>0.18</v>
      </c>
      <c r="L75" s="52">
        <v>0.34</v>
      </c>
      <c r="M75" s="52">
        <f>K75*L75</f>
        <v>6.1200000000000004E-2</v>
      </c>
      <c r="N75" s="123">
        <f>M75/M77</f>
        <v>0.12551271534044298</v>
      </c>
    </row>
    <row r="76" spans="10:14" x14ac:dyDescent="0.25">
      <c r="J76" s="119" t="s">
        <v>217</v>
      </c>
      <c r="K76" s="52">
        <v>0.82</v>
      </c>
      <c r="L76" s="52">
        <v>0.52</v>
      </c>
      <c r="M76" s="52">
        <f>K76*L76</f>
        <v>0.4264</v>
      </c>
      <c r="N76" s="52">
        <f>M76/M77</f>
        <v>0.87448728465955694</v>
      </c>
    </row>
    <row r="77" spans="10:14" x14ac:dyDescent="0.25">
      <c r="J77" s="119"/>
      <c r="K77" s="52">
        <f>SUM(K75:K76)</f>
        <v>1</v>
      </c>
      <c r="L77" s="52"/>
      <c r="M77" s="52">
        <f>SUM(M75:M76)</f>
        <v>0.48760000000000003</v>
      </c>
      <c r="N77" s="52">
        <f>SUM(N75:N76)</f>
        <v>0.99999999999999989</v>
      </c>
    </row>
    <row r="78" spans="10:14" x14ac:dyDescent="0.25">
      <c r="J78" s="124" t="s">
        <v>276</v>
      </c>
      <c r="K78" s="124"/>
      <c r="L78" s="124"/>
      <c r="M78" s="124"/>
      <c r="N78" s="124"/>
    </row>
    <row r="79" spans="10:14" x14ac:dyDescent="0.25">
      <c r="J79" t="s">
        <v>281</v>
      </c>
    </row>
    <row r="80" spans="10:14" x14ac:dyDescent="0.25">
      <c r="J80" t="s">
        <v>274</v>
      </c>
      <c r="K80" s="125"/>
      <c r="L80" s="125"/>
      <c r="M80" s="125"/>
      <c r="N80" s="125"/>
    </row>
    <row r="81" spans="10:10" x14ac:dyDescent="0.25">
      <c r="J81" t="s">
        <v>280</v>
      </c>
    </row>
    <row r="82" spans="10:10" x14ac:dyDescent="0.25">
      <c r="J82" t="s">
        <v>279</v>
      </c>
    </row>
  </sheetData>
  <pageMargins left="0.7" right="0.7" top="0.75" bottom="0.75" header="0.3" footer="0.3"/>
  <pageSetup scale="97" fitToHeight="0" orientation="portrait" r:id="rId1"/>
  <rowBreaks count="1" manualBreakCount="1">
    <brk id="37"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43"/>
  <sheetViews>
    <sheetView zoomScale="110" zoomScaleNormal="110" workbookViewId="0">
      <selection activeCell="B1" sqref="B1"/>
    </sheetView>
  </sheetViews>
  <sheetFormatPr defaultRowHeight="15" x14ac:dyDescent="0.25"/>
  <cols>
    <col min="1" max="1" width="1.85546875" customWidth="1"/>
    <col min="2" max="2" width="6.7109375" customWidth="1"/>
    <col min="3" max="4" width="24.42578125" customWidth="1"/>
    <col min="5" max="5" width="29.5703125" customWidth="1"/>
    <col min="6" max="9" width="27.85546875" customWidth="1"/>
    <col min="10" max="11" width="23" customWidth="1"/>
    <col min="12" max="14" width="0" hidden="1" customWidth="1"/>
  </cols>
  <sheetData>
    <row r="1" spans="2:14" x14ac:dyDescent="0.25">
      <c r="F1" s="2" t="s">
        <v>229</v>
      </c>
    </row>
    <row r="2" spans="2:14" x14ac:dyDescent="0.25">
      <c r="C2" s="86" t="s">
        <v>226</v>
      </c>
    </row>
    <row r="3" spans="2:14" ht="15.75" thickBot="1" x14ac:dyDescent="0.3">
      <c r="F3" s="146" t="s">
        <v>233</v>
      </c>
      <c r="G3" s="146"/>
      <c r="H3" s="146"/>
      <c r="I3" s="146"/>
    </row>
    <row r="4" spans="2:14" ht="30.75" thickBot="1" x14ac:dyDescent="0.3">
      <c r="B4" s="87" t="s">
        <v>171</v>
      </c>
      <c r="C4" s="100" t="s">
        <v>232</v>
      </c>
      <c r="D4" s="63" t="s">
        <v>172</v>
      </c>
      <c r="E4" s="92" t="s">
        <v>173</v>
      </c>
      <c r="F4" s="61" t="s">
        <v>122</v>
      </c>
      <c r="G4" s="62" t="s">
        <v>120</v>
      </c>
      <c r="H4" s="62" t="s">
        <v>114</v>
      </c>
      <c r="I4" s="64" t="s">
        <v>127</v>
      </c>
      <c r="K4" s="34" t="s">
        <v>230</v>
      </c>
    </row>
    <row r="5" spans="2:14" ht="15.75" thickBot="1" x14ac:dyDescent="0.3">
      <c r="B5" s="34"/>
      <c r="C5" s="34"/>
      <c r="D5" s="34"/>
      <c r="E5" s="34"/>
      <c r="F5" s="97"/>
      <c r="G5" s="34"/>
      <c r="H5" s="34"/>
      <c r="I5" s="98"/>
      <c r="J5" s="34"/>
    </row>
    <row r="6" spans="2:14" ht="78" thickBot="1" x14ac:dyDescent="0.3">
      <c r="B6" s="72" t="s">
        <v>157</v>
      </c>
      <c r="C6" s="88" t="s">
        <v>174</v>
      </c>
      <c r="D6" s="65" t="s">
        <v>175</v>
      </c>
      <c r="E6" s="93" t="s">
        <v>176</v>
      </c>
      <c r="F6" s="72" t="s">
        <v>177</v>
      </c>
      <c r="G6" s="76" t="s">
        <v>178</v>
      </c>
      <c r="H6" s="76" t="s">
        <v>179</v>
      </c>
      <c r="I6" s="77" t="s">
        <v>180</v>
      </c>
      <c r="J6" s="99" t="s">
        <v>235</v>
      </c>
      <c r="K6" s="37">
        <f>21+39+11+17</f>
        <v>88</v>
      </c>
      <c r="L6" s="66" t="s">
        <v>181</v>
      </c>
      <c r="M6" s="66" t="s">
        <v>182</v>
      </c>
      <c r="N6" s="66" t="s">
        <v>183</v>
      </c>
    </row>
    <row r="7" spans="2:14" ht="105.75" thickBot="1" x14ac:dyDescent="0.3">
      <c r="B7" s="73" t="s">
        <v>158</v>
      </c>
      <c r="C7" s="89" t="s">
        <v>184</v>
      </c>
      <c r="D7" s="67" t="s">
        <v>185</v>
      </c>
      <c r="E7" s="94" t="s">
        <v>220</v>
      </c>
      <c r="F7" s="73" t="s">
        <v>186</v>
      </c>
      <c r="G7" s="79" t="s">
        <v>187</v>
      </c>
      <c r="H7" s="78" t="s">
        <v>188</v>
      </c>
      <c r="I7" s="80" t="s">
        <v>189</v>
      </c>
      <c r="J7" s="99" t="s">
        <v>231</v>
      </c>
      <c r="K7" s="99"/>
      <c r="L7" s="66" t="s">
        <v>190</v>
      </c>
      <c r="M7" s="66" t="s">
        <v>191</v>
      </c>
      <c r="N7" s="66" t="s">
        <v>192</v>
      </c>
    </row>
    <row r="8" spans="2:14" ht="90.75" thickBot="1" x14ac:dyDescent="0.3">
      <c r="B8" s="74" t="s">
        <v>160</v>
      </c>
      <c r="C8" s="90" t="s">
        <v>193</v>
      </c>
      <c r="D8" s="68" t="s">
        <v>225</v>
      </c>
      <c r="E8" s="95" t="s">
        <v>194</v>
      </c>
      <c r="F8" s="74" t="s">
        <v>195</v>
      </c>
      <c r="G8" s="81" t="s">
        <v>196</v>
      </c>
      <c r="H8" s="81" t="s">
        <v>197</v>
      </c>
      <c r="I8" s="82" t="s">
        <v>198</v>
      </c>
      <c r="J8" s="99" t="s">
        <v>236</v>
      </c>
      <c r="K8" s="99"/>
      <c r="L8" s="66" t="s">
        <v>199</v>
      </c>
      <c r="M8" s="66" t="s">
        <v>200</v>
      </c>
      <c r="N8" s="66" t="s">
        <v>201</v>
      </c>
    </row>
    <row r="9" spans="2:14" ht="39" customHeight="1" thickBot="1" x14ac:dyDescent="0.3">
      <c r="B9" s="75" t="s">
        <v>202</v>
      </c>
      <c r="C9" s="91" t="s">
        <v>203</v>
      </c>
      <c r="D9" s="69" t="s">
        <v>204</v>
      </c>
      <c r="E9" s="96" t="s">
        <v>202</v>
      </c>
      <c r="F9" s="75" t="s">
        <v>205</v>
      </c>
      <c r="G9" s="83" t="s">
        <v>206</v>
      </c>
      <c r="H9" s="83" t="s">
        <v>207</v>
      </c>
      <c r="I9" s="84" t="s">
        <v>208</v>
      </c>
      <c r="J9" s="34"/>
      <c r="L9" s="66" t="s">
        <v>209</v>
      </c>
      <c r="M9" s="66" t="s">
        <v>210</v>
      </c>
      <c r="N9" s="66" t="s">
        <v>211</v>
      </c>
    </row>
    <row r="10" spans="2:14" x14ac:dyDescent="0.25">
      <c r="B10" s="34" t="s">
        <v>212</v>
      </c>
    </row>
    <row r="11" spans="2:14" x14ac:dyDescent="0.25">
      <c r="B11" s="34" t="s">
        <v>221</v>
      </c>
    </row>
    <row r="12" spans="2:14" x14ac:dyDescent="0.25">
      <c r="B12" s="34" t="s">
        <v>219</v>
      </c>
    </row>
    <row r="13" spans="2:14" ht="17.25" x14ac:dyDescent="0.25">
      <c r="B13" s="34" t="s">
        <v>234</v>
      </c>
    </row>
    <row r="15" spans="2:14" x14ac:dyDescent="0.25">
      <c r="B15" s="70" t="s">
        <v>222</v>
      </c>
    </row>
    <row r="16" spans="2:14" ht="30" x14ac:dyDescent="0.25">
      <c r="C16" s="71" t="s">
        <v>223</v>
      </c>
      <c r="D16" s="27" t="s">
        <v>213</v>
      </c>
      <c r="E16" s="27" t="s">
        <v>214</v>
      </c>
      <c r="F16" s="27" t="s">
        <v>215</v>
      </c>
    </row>
    <row r="17" spans="2:6" x14ac:dyDescent="0.25">
      <c r="B17" t="s">
        <v>216</v>
      </c>
      <c r="C17" s="48">
        <v>0.18</v>
      </c>
      <c r="D17" s="48">
        <v>0.34</v>
      </c>
      <c r="E17" s="48">
        <f>C17*D17</f>
        <v>6.1200000000000004E-2</v>
      </c>
      <c r="F17" s="85">
        <f>E17/E19</f>
        <v>0.12551271534044298</v>
      </c>
    </row>
    <row r="18" spans="2:6" x14ac:dyDescent="0.25">
      <c r="B18" t="s">
        <v>217</v>
      </c>
      <c r="C18" s="48">
        <v>0.82</v>
      </c>
      <c r="D18" s="48">
        <v>0.52</v>
      </c>
      <c r="E18" s="48">
        <f>C18*D18</f>
        <v>0.4264</v>
      </c>
      <c r="F18" s="48">
        <f>E18/E19</f>
        <v>0.87448728465955694</v>
      </c>
    </row>
    <row r="19" spans="2:6" x14ac:dyDescent="0.25">
      <c r="C19" s="48"/>
      <c r="D19" s="48"/>
      <c r="E19" s="49">
        <f>SUM(E17:E18)</f>
        <v>0.48760000000000003</v>
      </c>
      <c r="F19" s="48"/>
    </row>
    <row r="20" spans="2:6" x14ac:dyDescent="0.25">
      <c r="B20" t="s">
        <v>224</v>
      </c>
    </row>
    <row r="21" spans="2:6" x14ac:dyDescent="0.25">
      <c r="B21" t="s">
        <v>218</v>
      </c>
    </row>
    <row r="24" spans="2:6" x14ac:dyDescent="0.25">
      <c r="B24" t="s">
        <v>128</v>
      </c>
    </row>
    <row r="25" spans="2:6" x14ac:dyDescent="0.25">
      <c r="B25" t="s">
        <v>129</v>
      </c>
    </row>
    <row r="26" spans="2:6" x14ac:dyDescent="0.25">
      <c r="B26" t="s">
        <v>130</v>
      </c>
    </row>
    <row r="27" spans="2:6" x14ac:dyDescent="0.25">
      <c r="B27" t="s">
        <v>131</v>
      </c>
    </row>
    <row r="28" spans="2:6" x14ac:dyDescent="0.25">
      <c r="B28" t="s">
        <v>132</v>
      </c>
    </row>
    <row r="29" spans="2:6" x14ac:dyDescent="0.25">
      <c r="B29" t="s">
        <v>133</v>
      </c>
    </row>
    <row r="30" spans="2:6" x14ac:dyDescent="0.25">
      <c r="B30" t="s">
        <v>134</v>
      </c>
    </row>
    <row r="31" spans="2:6" x14ac:dyDescent="0.25">
      <c r="B31" t="s">
        <v>135</v>
      </c>
    </row>
    <row r="33" spans="2:2" x14ac:dyDescent="0.25">
      <c r="B33" t="s">
        <v>136</v>
      </c>
    </row>
    <row r="34" spans="2:2" x14ac:dyDescent="0.25">
      <c r="B34" t="s">
        <v>137</v>
      </c>
    </row>
    <row r="35" spans="2:2" x14ac:dyDescent="0.25">
      <c r="B35" t="s">
        <v>138</v>
      </c>
    </row>
    <row r="36" spans="2:2" x14ac:dyDescent="0.25">
      <c r="B36" t="s">
        <v>139</v>
      </c>
    </row>
    <row r="38" spans="2:2" x14ac:dyDescent="0.25">
      <c r="B38" t="s">
        <v>140</v>
      </c>
    </row>
    <row r="39" spans="2:2" x14ac:dyDescent="0.25">
      <c r="B39" t="s">
        <v>141</v>
      </c>
    </row>
    <row r="40" spans="2:2" x14ac:dyDescent="0.25">
      <c r="B40" t="s">
        <v>142</v>
      </c>
    </row>
    <row r="41" spans="2:2" x14ac:dyDescent="0.25">
      <c r="B41" t="s">
        <v>143</v>
      </c>
    </row>
    <row r="42" spans="2:2" x14ac:dyDescent="0.25">
      <c r="B42" t="s">
        <v>144</v>
      </c>
    </row>
    <row r="43" spans="2:2" x14ac:dyDescent="0.25">
      <c r="B43" t="s">
        <v>145</v>
      </c>
    </row>
  </sheetData>
  <mergeCells count="1">
    <mergeCell ref="F3:I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R53"/>
  <sheetViews>
    <sheetView showGridLines="0" topLeftCell="A22" zoomScale="110" zoomScaleNormal="110" workbookViewId="0">
      <selection activeCell="C28" sqref="C28"/>
    </sheetView>
  </sheetViews>
  <sheetFormatPr defaultRowHeight="15" x14ac:dyDescent="0.25"/>
  <cols>
    <col min="1" max="1" width="1.7109375" customWidth="1"/>
    <col min="2" max="2" width="12.7109375" customWidth="1"/>
    <col min="3" max="4" width="15.42578125" customWidth="1"/>
    <col min="5" max="5" width="5.5703125" customWidth="1"/>
    <col min="6" max="8" width="15.42578125" customWidth="1"/>
    <col min="9" max="9" width="20.85546875" bestFit="1" customWidth="1"/>
    <col min="12" max="12" width="17.140625" customWidth="1"/>
    <col min="13" max="13" width="23.5703125" customWidth="1"/>
    <col min="15" max="15" width="19.42578125" customWidth="1"/>
    <col min="16" max="16" width="10.140625" customWidth="1"/>
    <col min="17" max="17" width="20.85546875" bestFit="1" customWidth="1"/>
  </cols>
  <sheetData>
    <row r="1" spans="2:18" ht="24" thickBot="1" x14ac:dyDescent="0.3">
      <c r="B1" s="29" t="s">
        <v>123</v>
      </c>
      <c r="F1" s="34" t="s">
        <v>162</v>
      </c>
      <c r="G1" s="34"/>
    </row>
    <row r="2" spans="2:18" ht="15.75" thickTop="1" x14ac:dyDescent="0.25">
      <c r="B2" s="86" t="s">
        <v>227</v>
      </c>
      <c r="C2" s="86"/>
      <c r="F2" t="s">
        <v>159</v>
      </c>
    </row>
    <row r="3" spans="2:18" ht="15.75" thickBot="1" x14ac:dyDescent="0.3">
      <c r="C3" s="6" t="s">
        <v>125</v>
      </c>
      <c r="F3" s="6" t="s">
        <v>166</v>
      </c>
      <c r="G3" s="6" t="s">
        <v>158</v>
      </c>
      <c r="H3" s="6" t="s">
        <v>157</v>
      </c>
      <c r="N3">
        <v>31</v>
      </c>
    </row>
    <row r="4" spans="2:18" ht="38.25" thickBot="1" x14ac:dyDescent="0.3">
      <c r="B4" s="30" t="s">
        <v>121</v>
      </c>
      <c r="C4" s="30" t="s">
        <v>147</v>
      </c>
      <c r="D4" s="30" t="s">
        <v>126</v>
      </c>
      <c r="F4" s="30" t="s">
        <v>124</v>
      </c>
      <c r="G4" s="30" t="s">
        <v>124</v>
      </c>
      <c r="H4" s="30" t="s">
        <v>124</v>
      </c>
      <c r="N4">
        <v>36</v>
      </c>
      <c r="P4" t="s">
        <v>243</v>
      </c>
    </row>
    <row r="5" spans="2:18" ht="20.25" thickTop="1" thickBot="1" x14ac:dyDescent="0.3">
      <c r="B5" s="31" t="s">
        <v>120</v>
      </c>
      <c r="C5" s="50">
        <v>0.39</v>
      </c>
      <c r="D5" s="50">
        <v>0.5</v>
      </c>
      <c r="F5" s="50">
        <f>C5-5%</f>
        <v>0.34</v>
      </c>
      <c r="G5" s="50">
        <f>F5+5%</f>
        <v>0.39</v>
      </c>
      <c r="H5" s="50">
        <f>G5+5%</f>
        <v>0.44</v>
      </c>
      <c r="I5" s="28">
        <f>F5/G5</f>
        <v>0.87179487179487181</v>
      </c>
      <c r="J5" s="5">
        <f>$I$5*G5</f>
        <v>0.34</v>
      </c>
      <c r="K5" s="5">
        <f>$I$7*G5</f>
        <v>0.28166666666666673</v>
      </c>
      <c r="O5" t="s">
        <v>167</v>
      </c>
    </row>
    <row r="6" spans="2:18" ht="20.25" thickTop="1" thickBot="1" x14ac:dyDescent="0.3">
      <c r="B6" s="32" t="s">
        <v>114</v>
      </c>
      <c r="C6" s="51">
        <v>0.09</v>
      </c>
      <c r="D6" s="51">
        <v>0.09</v>
      </c>
      <c r="F6" s="51">
        <f t="shared" ref="F6:F8" si="0">C6-5%</f>
        <v>3.9999999999999994E-2</v>
      </c>
      <c r="G6" s="51">
        <f>F6+5%</f>
        <v>0.09</v>
      </c>
      <c r="H6" s="51">
        <f t="shared" ref="H6" si="1">G6+5%</f>
        <v>0.14000000000000001</v>
      </c>
      <c r="I6" s="28">
        <f>F6/G6</f>
        <v>0.44444444444444442</v>
      </c>
      <c r="J6" s="5">
        <f>$I$5*G6</f>
        <v>7.8461538461538458E-2</v>
      </c>
      <c r="K6" s="5">
        <f>$I$7*G6</f>
        <v>6.5000000000000002E-2</v>
      </c>
      <c r="M6" s="41" t="s">
        <v>244</v>
      </c>
      <c r="N6" s="58">
        <f>100%-C7</f>
        <v>0.82000000000000006</v>
      </c>
      <c r="O6" t="s">
        <v>163</v>
      </c>
      <c r="P6" s="119" t="s">
        <v>272</v>
      </c>
    </row>
    <row r="7" spans="2:18" ht="19.5" thickBot="1" x14ac:dyDescent="0.3">
      <c r="B7" s="31" t="s">
        <v>122</v>
      </c>
      <c r="C7" s="50">
        <f>7%+11%</f>
        <v>0.18</v>
      </c>
      <c r="D7" s="50">
        <f>21%+16%</f>
        <v>0.37</v>
      </c>
      <c r="F7" s="50">
        <f t="shared" si="0"/>
        <v>0.13</v>
      </c>
      <c r="G7" s="50">
        <f>F7+5%</f>
        <v>0.18</v>
      </c>
      <c r="H7" s="50">
        <f t="shared" ref="H7" si="2">G7+5%</f>
        <v>0.22999999999999998</v>
      </c>
      <c r="I7" s="101">
        <f>F7/G7</f>
        <v>0.72222222222222232</v>
      </c>
      <c r="J7" s="5">
        <f>$I$5*G7</f>
        <v>0.15692307692307692</v>
      </c>
      <c r="K7" s="5">
        <f>$I$7*G7</f>
        <v>0.13</v>
      </c>
      <c r="M7" s="115" t="s">
        <v>167</v>
      </c>
      <c r="N7" s="116">
        <f>((23%+8%)+(32%+4%))/2</f>
        <v>0.33499999999999996</v>
      </c>
      <c r="O7" t="s">
        <v>164</v>
      </c>
      <c r="P7" s="120">
        <f>N7*C7</f>
        <v>6.0299999999999992E-2</v>
      </c>
      <c r="Q7" s="5">
        <f>P7/$P$9</f>
        <v>0.12389562358742549</v>
      </c>
      <c r="R7" t="s">
        <v>271</v>
      </c>
    </row>
    <row r="8" spans="2:18" ht="20.25" thickTop="1" thickBot="1" x14ac:dyDescent="0.3">
      <c r="B8" s="32" t="s">
        <v>127</v>
      </c>
      <c r="C8" s="51">
        <v>0.15</v>
      </c>
      <c r="D8" s="51">
        <v>0.11</v>
      </c>
      <c r="F8" s="51">
        <f t="shared" si="0"/>
        <v>9.9999999999999992E-2</v>
      </c>
      <c r="G8" s="51">
        <f>F8+5%</f>
        <v>0.15</v>
      </c>
      <c r="H8" s="51">
        <f t="shared" ref="H8" si="3">G8+5%</f>
        <v>0.2</v>
      </c>
      <c r="I8" s="28">
        <f>F8/G8</f>
        <v>0.66666666666666663</v>
      </c>
      <c r="J8" s="5">
        <f>$I$5*G8</f>
        <v>0.13076923076923078</v>
      </c>
      <c r="K8" s="5">
        <f>$I$7*G8</f>
        <v>0.10833333333333335</v>
      </c>
      <c r="M8" s="115" t="s">
        <v>167</v>
      </c>
      <c r="N8" s="116">
        <f>46%+6%</f>
        <v>0.52</v>
      </c>
      <c r="O8" t="s">
        <v>165</v>
      </c>
      <c r="P8" s="120">
        <f>N8*N6</f>
        <v>0.42640000000000006</v>
      </c>
      <c r="Q8" s="5">
        <f>P8/$P$9</f>
        <v>0.87610437641257455</v>
      </c>
    </row>
    <row r="9" spans="2:18" ht="45" x14ac:dyDescent="0.25">
      <c r="C9" s="57" t="s">
        <v>161</v>
      </c>
      <c r="M9" s="117" t="s">
        <v>270</v>
      </c>
      <c r="N9" s="118"/>
      <c r="P9" s="5">
        <f>SUM(P7:P8)</f>
        <v>0.48670000000000002</v>
      </c>
      <c r="Q9" s="5"/>
    </row>
    <row r="13" spans="2:18" ht="15.75" thickBot="1" x14ac:dyDescent="0.3">
      <c r="N13" t="s">
        <v>245</v>
      </c>
      <c r="R13" t="s">
        <v>246</v>
      </c>
    </row>
    <row r="14" spans="2:18" ht="113.25" thickBot="1" x14ac:dyDescent="0.3">
      <c r="L14" s="30" t="s">
        <v>121</v>
      </c>
      <c r="M14" s="30" t="s">
        <v>168</v>
      </c>
      <c r="N14" s="30" t="s">
        <v>169</v>
      </c>
      <c r="O14" s="30" t="s">
        <v>170</v>
      </c>
      <c r="P14" s="30" t="s">
        <v>170</v>
      </c>
      <c r="Q14" s="30" t="s">
        <v>169</v>
      </c>
      <c r="R14" s="30" t="s">
        <v>169</v>
      </c>
    </row>
    <row r="15" spans="2:18" ht="20.25" thickTop="1" thickBot="1" x14ac:dyDescent="0.3">
      <c r="L15" s="31" t="s">
        <v>120</v>
      </c>
      <c r="M15" s="59"/>
      <c r="N15" s="59">
        <f>AVERAGE(39%,34%,33%)</f>
        <v>0.35333333333333333</v>
      </c>
      <c r="O15" s="59">
        <f>P15-N15</f>
        <v>3.6666666666666681E-2</v>
      </c>
      <c r="P15" s="107">
        <f>C5</f>
        <v>0.39</v>
      </c>
      <c r="Q15" s="50">
        <f>N15</f>
        <v>0.35333333333333333</v>
      </c>
      <c r="R15" s="107">
        <f>AVERAGE(39%,34%,33%)</f>
        <v>0.35333333333333333</v>
      </c>
    </row>
    <row r="16" spans="2:18" ht="20.25" thickTop="1" thickBot="1" x14ac:dyDescent="0.3">
      <c r="L16" s="32" t="s">
        <v>114</v>
      </c>
      <c r="M16" s="60"/>
      <c r="N16" s="60"/>
      <c r="O16" s="60">
        <f>P16</f>
        <v>0.09</v>
      </c>
      <c r="P16" s="107">
        <f>C6</f>
        <v>0.09</v>
      </c>
      <c r="Q16" s="51"/>
      <c r="R16" s="60"/>
    </row>
    <row r="17" spans="2:18" ht="19.5" thickBot="1" x14ac:dyDescent="0.3">
      <c r="L17" s="31" t="s">
        <v>122</v>
      </c>
      <c r="M17" s="107">
        <f>Q7</f>
        <v>0.12389562358742549</v>
      </c>
      <c r="N17" s="59">
        <f>R17-M17</f>
        <v>8.9437709745907853E-2</v>
      </c>
      <c r="O17" s="59"/>
      <c r="P17" s="107">
        <f>C7</f>
        <v>0.18</v>
      </c>
      <c r="Q17" s="50">
        <f>N17-P17</f>
        <v>-9.056229025409214E-2</v>
      </c>
      <c r="R17" s="107">
        <f>AVERAGE(22%,21%,21%)</f>
        <v>0.21333333333333335</v>
      </c>
    </row>
    <row r="18" spans="2:18" ht="20.25" thickTop="1" thickBot="1" x14ac:dyDescent="0.3">
      <c r="L18" s="32" t="s">
        <v>127</v>
      </c>
      <c r="M18" s="60"/>
      <c r="N18" s="60"/>
      <c r="O18" s="60">
        <f>P18</f>
        <v>0.15</v>
      </c>
      <c r="P18" s="107">
        <f>C8</f>
        <v>0.15</v>
      </c>
      <c r="Q18" s="51"/>
      <c r="R18" s="60"/>
    </row>
    <row r="19" spans="2:18" x14ac:dyDescent="0.25">
      <c r="R19" t="s">
        <v>247</v>
      </c>
    </row>
    <row r="20" spans="2:18" x14ac:dyDescent="0.25">
      <c r="R20" t="s">
        <v>248</v>
      </c>
    </row>
    <row r="24" spans="2:18" x14ac:dyDescent="0.25">
      <c r="L24" t="s">
        <v>167</v>
      </c>
    </row>
    <row r="30" spans="2:18" x14ac:dyDescent="0.25">
      <c r="B30" s="57" t="s">
        <v>161</v>
      </c>
    </row>
    <row r="31" spans="2:18" x14ac:dyDescent="0.25">
      <c r="B31" t="s">
        <v>146</v>
      </c>
    </row>
    <row r="34" spans="2:2" x14ac:dyDescent="0.25">
      <c r="B34" t="s">
        <v>128</v>
      </c>
    </row>
    <row r="35" spans="2:2" x14ac:dyDescent="0.25">
      <c r="B35" t="s">
        <v>129</v>
      </c>
    </row>
    <row r="36" spans="2:2" x14ac:dyDescent="0.25">
      <c r="B36" t="s">
        <v>130</v>
      </c>
    </row>
    <row r="37" spans="2:2" x14ac:dyDescent="0.25">
      <c r="B37" t="s">
        <v>131</v>
      </c>
    </row>
    <row r="38" spans="2:2" x14ac:dyDescent="0.25">
      <c r="B38" t="s">
        <v>132</v>
      </c>
    </row>
    <row r="39" spans="2:2" x14ac:dyDescent="0.25">
      <c r="B39" t="s">
        <v>133</v>
      </c>
    </row>
    <row r="40" spans="2:2" x14ac:dyDescent="0.25">
      <c r="B40" t="s">
        <v>134</v>
      </c>
    </row>
    <row r="41" spans="2:2" x14ac:dyDescent="0.25">
      <c r="B41" t="s">
        <v>135</v>
      </c>
    </row>
    <row r="43" spans="2:2" x14ac:dyDescent="0.25">
      <c r="B43" t="s">
        <v>136</v>
      </c>
    </row>
    <row r="44" spans="2:2" x14ac:dyDescent="0.25">
      <c r="B44" t="s">
        <v>137</v>
      </c>
    </row>
    <row r="45" spans="2:2" x14ac:dyDescent="0.25">
      <c r="B45" t="s">
        <v>138</v>
      </c>
    </row>
    <row r="46" spans="2:2" x14ac:dyDescent="0.25">
      <c r="B46" t="s">
        <v>139</v>
      </c>
    </row>
    <row r="48" spans="2:2" x14ac:dyDescent="0.25">
      <c r="B48" t="s">
        <v>140</v>
      </c>
    </row>
    <row r="49" spans="2:2" x14ac:dyDescent="0.25">
      <c r="B49" t="s">
        <v>141</v>
      </c>
    </row>
    <row r="50" spans="2:2" x14ac:dyDescent="0.25">
      <c r="B50" t="s">
        <v>142</v>
      </c>
    </row>
    <row r="51" spans="2:2" x14ac:dyDescent="0.25">
      <c r="B51" t="s">
        <v>143</v>
      </c>
    </row>
    <row r="52" spans="2:2" x14ac:dyDescent="0.25">
      <c r="B52" t="s">
        <v>144</v>
      </c>
    </row>
    <row r="53" spans="2:2" x14ac:dyDescent="0.25">
      <c r="B53" t="s">
        <v>145</v>
      </c>
    </row>
  </sheetData>
  <pageMargins left="0.7" right="0.7" top="0.75" bottom="0.75" header="0.3" footer="0.3"/>
  <pageSetup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9"/>
  <sheetViews>
    <sheetView workbookViewId="0">
      <selection activeCell="F8" sqref="F8"/>
    </sheetView>
  </sheetViews>
  <sheetFormatPr defaultRowHeight="15" x14ac:dyDescent="0.25"/>
  <cols>
    <col min="1" max="1" width="10.140625" bestFit="1" customWidth="1"/>
    <col min="2" max="2" width="21.28515625" customWidth="1"/>
    <col min="4" max="4" width="13.7109375" bestFit="1" customWidth="1"/>
    <col min="5" max="5" width="14.85546875" bestFit="1" customWidth="1"/>
    <col min="6" max="6" width="65.28515625" bestFit="1" customWidth="1"/>
  </cols>
  <sheetData>
    <row r="2" spans="1:6" ht="15.75" thickBot="1" x14ac:dyDescent="0.3"/>
    <row r="3" spans="1:6" ht="24" thickBot="1" x14ac:dyDescent="0.3">
      <c r="B3" s="29" t="s">
        <v>149</v>
      </c>
    </row>
    <row r="4" spans="1:6" ht="15.75" thickTop="1" x14ac:dyDescent="0.25"/>
    <row r="5" spans="1:6" ht="15.75" thickBot="1" x14ac:dyDescent="0.3"/>
    <row r="6" spans="1:6" ht="19.5" thickBot="1" x14ac:dyDescent="0.3">
      <c r="B6" s="30" t="s">
        <v>153</v>
      </c>
      <c r="D6" s="30" t="s">
        <v>154</v>
      </c>
      <c r="E6" s="30" t="s">
        <v>155</v>
      </c>
    </row>
    <row r="7" spans="1:6" ht="20.25" thickTop="1" thickBot="1" x14ac:dyDescent="0.3">
      <c r="A7" s="34"/>
      <c r="B7" s="31" t="s">
        <v>150</v>
      </c>
      <c r="C7" s="37">
        <v>1</v>
      </c>
      <c r="D7" s="55">
        <v>44166</v>
      </c>
      <c r="E7" s="53">
        <f>EOMONTH(D7,C7-1)+1</f>
        <v>44197</v>
      </c>
      <c r="F7" s="34" t="s">
        <v>156</v>
      </c>
    </row>
    <row r="8" spans="1:6" ht="20.25" thickTop="1" thickBot="1" x14ac:dyDescent="0.3">
      <c r="A8" s="56" t="s">
        <v>148</v>
      </c>
      <c r="B8" s="32" t="s">
        <v>151</v>
      </c>
      <c r="C8" s="37">
        <v>2</v>
      </c>
      <c r="D8" s="54">
        <f>D7</f>
        <v>44166</v>
      </c>
      <c r="E8" s="54">
        <f t="shared" ref="E8:E9" si="0">EOMONTH(D8,C8-1)+1</f>
        <v>44228</v>
      </c>
      <c r="F8" s="34" t="s">
        <v>156</v>
      </c>
    </row>
    <row r="9" spans="1:6" ht="19.5" thickBot="1" x14ac:dyDescent="0.3">
      <c r="A9" s="34"/>
      <c r="B9" s="31" t="s">
        <v>152</v>
      </c>
      <c r="C9" s="37">
        <v>3</v>
      </c>
      <c r="D9" s="53">
        <f>D7</f>
        <v>44166</v>
      </c>
      <c r="E9" s="53">
        <f t="shared" si="0"/>
        <v>44256</v>
      </c>
      <c r="F9" s="34" t="s">
        <v>156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81"/>
  <sheetViews>
    <sheetView zoomScaleNormal="100" workbookViewId="0">
      <pane ySplit="15" topLeftCell="A34" activePane="bottomLeft" state="frozen"/>
      <selection pane="bottomLeft" activeCell="M35" sqref="M35"/>
    </sheetView>
  </sheetViews>
  <sheetFormatPr defaultRowHeight="15" outlineLevelCol="1" x14ac:dyDescent="0.25"/>
  <cols>
    <col min="1" max="1" width="12.140625" customWidth="1"/>
    <col min="2" max="2" width="11.28515625" hidden="1" customWidth="1" outlineLevel="1"/>
    <col min="3" max="3" width="11.28515625" customWidth="1" collapsed="1"/>
    <col min="4" max="4" width="11.7109375" customWidth="1"/>
    <col min="6" max="6" width="16.5703125" hidden="1" customWidth="1" outlineLevel="1"/>
    <col min="7" max="7" width="16.5703125" bestFit="1" customWidth="1" collapsed="1"/>
    <col min="8" max="8" width="15.28515625" customWidth="1"/>
    <col min="9" max="9" width="13.42578125" customWidth="1"/>
    <col min="11" max="11" width="16.5703125" bestFit="1" customWidth="1"/>
    <col min="12" max="12" width="2.140625" customWidth="1"/>
    <col min="13" max="13" width="18.42578125" customWidth="1"/>
    <col min="14" max="14" width="12.5703125" bestFit="1" customWidth="1"/>
  </cols>
  <sheetData>
    <row r="1" spans="1:26" x14ac:dyDescent="0.25">
      <c r="A1" t="s">
        <v>90</v>
      </c>
    </row>
    <row r="2" spans="1:26" x14ac:dyDescent="0.25">
      <c r="A2" t="s">
        <v>97</v>
      </c>
      <c r="I2" t="s">
        <v>99</v>
      </c>
      <c r="Z2" s="7" t="s">
        <v>84</v>
      </c>
    </row>
    <row r="3" spans="1:26" x14ac:dyDescent="0.25">
      <c r="A3" t="s">
        <v>68</v>
      </c>
      <c r="I3" t="s">
        <v>98</v>
      </c>
    </row>
    <row r="4" spans="1:26" x14ac:dyDescent="0.25">
      <c r="A4" t="s">
        <v>69</v>
      </c>
      <c r="I4" t="s">
        <v>76</v>
      </c>
    </row>
    <row r="5" spans="1:26" x14ac:dyDescent="0.25">
      <c r="A5" t="s">
        <v>70</v>
      </c>
      <c r="I5" t="s">
        <v>77</v>
      </c>
    </row>
    <row r="6" spans="1:26" x14ac:dyDescent="0.25">
      <c r="A6" t="s">
        <v>71</v>
      </c>
      <c r="I6" t="s">
        <v>78</v>
      </c>
    </row>
    <row r="7" spans="1:26" x14ac:dyDescent="0.25">
      <c r="A7" t="s">
        <v>72</v>
      </c>
      <c r="I7" t="s">
        <v>79</v>
      </c>
    </row>
    <row r="8" spans="1:26" x14ac:dyDescent="0.25">
      <c r="A8" t="s">
        <v>73</v>
      </c>
      <c r="I8" t="s">
        <v>80</v>
      </c>
    </row>
    <row r="9" spans="1:26" x14ac:dyDescent="0.25">
      <c r="A9" t="s">
        <v>74</v>
      </c>
      <c r="I9" t="s">
        <v>81</v>
      </c>
    </row>
    <row r="10" spans="1:26" x14ac:dyDescent="0.25">
      <c r="A10" t="s">
        <v>75</v>
      </c>
      <c r="I10" t="s">
        <v>82</v>
      </c>
    </row>
    <row r="11" spans="1:26" ht="15.75" thickBot="1" x14ac:dyDescent="0.3">
      <c r="K11" s="15" t="s">
        <v>102</v>
      </c>
      <c r="L11" s="15"/>
    </row>
    <row r="12" spans="1:26" x14ac:dyDescent="0.25">
      <c r="A12" s="33" t="s">
        <v>111</v>
      </c>
      <c r="H12" s="13">
        <v>50000000</v>
      </c>
      <c r="I12" s="8" t="s">
        <v>83</v>
      </c>
      <c r="K12" s="26">
        <v>200000</v>
      </c>
      <c r="L12" s="15"/>
      <c r="M12" s="24" t="s">
        <v>110</v>
      </c>
    </row>
    <row r="13" spans="1:26" ht="15.75" thickBot="1" x14ac:dyDescent="0.3">
      <c r="E13" t="s">
        <v>103</v>
      </c>
      <c r="G13" s="22">
        <v>0.8</v>
      </c>
      <c r="H13" s="13">
        <f>H12*G13</f>
        <v>40000000</v>
      </c>
      <c r="I13" s="8" t="s">
        <v>108</v>
      </c>
      <c r="K13" s="25">
        <f>K80</f>
        <v>5246878.4227820374</v>
      </c>
      <c r="L13" s="15"/>
      <c r="M13" s="25">
        <f>H12-H13-K13</f>
        <v>4753121.5772179626</v>
      </c>
      <c r="N13" s="21">
        <f>M13+K13+H13</f>
        <v>50000000</v>
      </c>
      <c r="O13" t="s">
        <v>104</v>
      </c>
    </row>
    <row r="14" spans="1:26" x14ac:dyDescent="0.25">
      <c r="A14" t="s">
        <v>85</v>
      </c>
      <c r="L14" s="15"/>
    </row>
    <row r="15" spans="1:26" ht="75" x14ac:dyDescent="0.25">
      <c r="A15" s="6" t="s">
        <v>92</v>
      </c>
      <c r="B15" s="6" t="s">
        <v>91</v>
      </c>
      <c r="C15" s="6" t="s">
        <v>93</v>
      </c>
      <c r="D15" s="6" t="s">
        <v>86</v>
      </c>
      <c r="E15" s="6" t="s">
        <v>87</v>
      </c>
      <c r="F15" s="6" t="s">
        <v>0</v>
      </c>
      <c r="G15" s="16" t="s">
        <v>94</v>
      </c>
      <c r="H15" s="17" t="s">
        <v>100</v>
      </c>
      <c r="I15" s="6" t="s">
        <v>95</v>
      </c>
      <c r="J15" s="6" t="s">
        <v>96</v>
      </c>
      <c r="K15" s="6" t="s">
        <v>101</v>
      </c>
      <c r="L15" s="6"/>
      <c r="M15" s="6" t="s">
        <v>107</v>
      </c>
      <c r="N15" s="6" t="s">
        <v>109</v>
      </c>
    </row>
    <row r="16" spans="1:26" x14ac:dyDescent="0.25">
      <c r="A16" s="3" t="s">
        <v>28</v>
      </c>
      <c r="B16" s="9" t="e">
        <f>VLOOKUP(A16,#REF!,3,FALSE)</f>
        <v>#REF!</v>
      </c>
      <c r="C16" s="10" t="e">
        <f>B16/$B$80</f>
        <v>#REF!</v>
      </c>
      <c r="D16" s="15" t="str">
        <f>IFERROR(VLOOKUP($A16,#REF!,7,FALSE),"")</f>
        <v/>
      </c>
      <c r="E16" s="15" t="str">
        <f>IFERROR(VLOOKUP($A16,#REF!,8,FALSE),"")</f>
        <v/>
      </c>
      <c r="F16" s="9">
        <v>19752</v>
      </c>
      <c r="G16" s="18">
        <v>0.14422782037239867</v>
      </c>
      <c r="H16" s="19">
        <f t="shared" ref="H16:H79" si="0">G16*$H$13</f>
        <v>5769112.8148959465</v>
      </c>
      <c r="I16" s="11">
        <v>0.16492613392367508</v>
      </c>
      <c r="J16" s="11">
        <v>0.19479285857049761</v>
      </c>
      <c r="K16" s="21">
        <f>IF(H16&lt;$K$12,$K$12-H16,0)</f>
        <v>0</v>
      </c>
      <c r="M16" s="21">
        <f t="shared" ref="M16:M78" si="1">IF(OR(D16="x",E16="x"),($H$12-$H$13-$K$80)/25,0)</f>
        <v>0</v>
      </c>
      <c r="N16" s="21">
        <f t="shared" ref="N16:N47" si="2">K16+H16+M16</f>
        <v>5769112.8148959465</v>
      </c>
    </row>
    <row r="17" spans="1:14" x14ac:dyDescent="0.25">
      <c r="A17" s="3" t="s">
        <v>14</v>
      </c>
      <c r="B17" s="9" t="e">
        <f>VLOOKUP(A17,#REF!,3,FALSE)</f>
        <v>#REF!</v>
      </c>
      <c r="C17" s="10" t="e">
        <f t="shared" ref="C17:C80" si="3">B17/$B$80</f>
        <v>#REF!</v>
      </c>
      <c r="D17" s="15" t="str">
        <f>IFERROR(VLOOKUP($A17,#REF!,7,FALSE),"")</f>
        <v/>
      </c>
      <c r="E17" s="15" t="str">
        <f>IFERROR(VLOOKUP($A17,#REF!,8,FALSE),"")</f>
        <v/>
      </c>
      <c r="F17" s="9">
        <v>14717</v>
      </c>
      <c r="G17" s="18">
        <v>0.10746257758305951</v>
      </c>
      <c r="H17" s="19">
        <f t="shared" si="0"/>
        <v>4298503.1033223802</v>
      </c>
      <c r="I17" s="11">
        <v>0.11198213748285539</v>
      </c>
      <c r="J17" s="11">
        <v>0.12477423838016069</v>
      </c>
      <c r="K17" s="21">
        <f t="shared" ref="K17:K79" si="4">IF(H17&lt;$K$12,$K$12-H17,0)</f>
        <v>0</v>
      </c>
      <c r="M17" s="21">
        <f t="shared" si="1"/>
        <v>0</v>
      </c>
      <c r="N17" s="21">
        <f t="shared" si="2"/>
        <v>4298503.1033223802</v>
      </c>
    </row>
    <row r="18" spans="1:14" x14ac:dyDescent="0.25">
      <c r="A18" s="3" t="s">
        <v>4</v>
      </c>
      <c r="B18" s="9" t="e">
        <f>VLOOKUP(A18,#REF!,3,FALSE)</f>
        <v>#REF!</v>
      </c>
      <c r="C18" s="10" t="e">
        <f t="shared" si="3"/>
        <v>#REF!</v>
      </c>
      <c r="D18" s="15" t="str">
        <f>IFERROR(VLOOKUP($A18,#REF!,7,FALSE),"")</f>
        <v/>
      </c>
      <c r="E18" s="15" t="str">
        <f>IFERROR(VLOOKUP($A18,#REF!,8,FALSE),"")</f>
        <v/>
      </c>
      <c r="F18" s="9">
        <v>14265</v>
      </c>
      <c r="G18" s="18">
        <v>0.10416210295728368</v>
      </c>
      <c r="H18" s="19">
        <f t="shared" si="0"/>
        <v>4166484.1182913468</v>
      </c>
      <c r="I18" s="11">
        <v>9.4832170136431276E-2</v>
      </c>
      <c r="J18" s="11">
        <v>9.7959639538832258E-2</v>
      </c>
      <c r="K18" s="21">
        <f t="shared" si="4"/>
        <v>0</v>
      </c>
      <c r="M18" s="21">
        <f t="shared" si="1"/>
        <v>0</v>
      </c>
      <c r="N18" s="21">
        <f t="shared" si="2"/>
        <v>4166484.1182913468</v>
      </c>
    </row>
    <row r="19" spans="1:14" x14ac:dyDescent="0.25">
      <c r="A19" s="3" t="s">
        <v>33</v>
      </c>
      <c r="B19" s="9" t="e">
        <f>VLOOKUP(A19,#REF!,3,FALSE)</f>
        <v>#REF!</v>
      </c>
      <c r="C19" s="10" t="e">
        <f t="shared" si="3"/>
        <v>#REF!</v>
      </c>
      <c r="D19" s="15" t="str">
        <f>IFERROR(VLOOKUP($A19,#REF!,7,FALSE),"")</f>
        <v/>
      </c>
      <c r="E19" s="15" t="str">
        <f>IFERROR(VLOOKUP($A19,#REF!,8,FALSE),"")</f>
        <v/>
      </c>
      <c r="F19" s="9">
        <v>13592</v>
      </c>
      <c r="G19" s="18">
        <v>9.9247900693683833E-2</v>
      </c>
      <c r="H19" s="19">
        <f t="shared" si="0"/>
        <v>3969916.0277473531</v>
      </c>
      <c r="I19" s="11">
        <v>9.7633597139332631E-2</v>
      </c>
      <c r="J19" s="11">
        <v>8.8486830317591303E-2</v>
      </c>
      <c r="K19" s="21">
        <f t="shared" si="4"/>
        <v>0</v>
      </c>
      <c r="M19" s="21">
        <f t="shared" si="1"/>
        <v>0</v>
      </c>
      <c r="N19" s="21">
        <f t="shared" si="2"/>
        <v>3969916.0277473531</v>
      </c>
    </row>
    <row r="20" spans="1:14" x14ac:dyDescent="0.25">
      <c r="A20" s="3" t="s">
        <v>18</v>
      </c>
      <c r="B20" s="9" t="e">
        <f>VLOOKUP(A20,#REF!,3,FALSE)</f>
        <v>#REF!</v>
      </c>
      <c r="C20" s="10" t="e">
        <f t="shared" si="3"/>
        <v>#REF!</v>
      </c>
      <c r="D20" s="15" t="str">
        <f>IFERROR(VLOOKUP($A20,#REF!,7,FALSE),"")</f>
        <v/>
      </c>
      <c r="E20" s="15" t="str">
        <f>IFERROR(VLOOKUP($A20,#REF!,8,FALSE),"")</f>
        <v/>
      </c>
      <c r="F20" s="9">
        <v>10752</v>
      </c>
      <c r="G20" s="18">
        <v>7.8510405257393209E-2</v>
      </c>
      <c r="H20" s="19">
        <f t="shared" si="0"/>
        <v>3140416.2102957284</v>
      </c>
      <c r="I20" s="11">
        <v>7.7827329793979133E-2</v>
      </c>
      <c r="J20" s="11">
        <v>8.2532602397147908E-2</v>
      </c>
      <c r="K20" s="21">
        <f t="shared" si="4"/>
        <v>0</v>
      </c>
      <c r="M20" s="21">
        <f t="shared" si="1"/>
        <v>0</v>
      </c>
      <c r="N20" s="21">
        <f t="shared" si="2"/>
        <v>3140416.2102957284</v>
      </c>
    </row>
    <row r="21" spans="1:14" x14ac:dyDescent="0.25">
      <c r="A21" s="3" t="s">
        <v>44</v>
      </c>
      <c r="B21" s="9" t="e">
        <f>VLOOKUP(A21,#REF!,3,FALSE)</f>
        <v>#REF!</v>
      </c>
      <c r="C21" s="10" t="e">
        <f t="shared" si="3"/>
        <v>#REF!</v>
      </c>
      <c r="D21" s="15" t="str">
        <f>IFERROR(VLOOKUP($A21,#REF!,7,FALSE),"")</f>
        <v/>
      </c>
      <c r="E21" s="15" t="str">
        <f>IFERROR(VLOOKUP($A21,#REF!,8,FALSE),"")</f>
        <v/>
      </c>
      <c r="F21" s="9">
        <v>9079</v>
      </c>
      <c r="G21" s="18">
        <v>6.6294267981014968E-2</v>
      </c>
      <c r="H21" s="19">
        <f t="shared" si="0"/>
        <v>2651770.7192405988</v>
      </c>
      <c r="I21" s="11">
        <v>6.9348106152076441E-2</v>
      </c>
      <c r="J21" s="11">
        <v>6.1009733173723837E-2</v>
      </c>
      <c r="K21" s="21">
        <f t="shared" si="4"/>
        <v>0</v>
      </c>
      <c r="M21" s="21">
        <f t="shared" si="1"/>
        <v>0</v>
      </c>
      <c r="N21" s="21">
        <f t="shared" si="2"/>
        <v>2651770.7192405988</v>
      </c>
    </row>
    <row r="22" spans="1:14" x14ac:dyDescent="0.25">
      <c r="A22" s="3" t="s">
        <v>12</v>
      </c>
      <c r="B22" s="9" t="e">
        <f>VLOOKUP(A22,#REF!,3,FALSE)</f>
        <v>#REF!</v>
      </c>
      <c r="C22" s="10" t="e">
        <f t="shared" si="3"/>
        <v>#REF!</v>
      </c>
      <c r="D22" s="15" t="str">
        <f>IFERROR(VLOOKUP($A22,#REF!,7,FALSE),"")</f>
        <v/>
      </c>
      <c r="E22" s="15" t="str">
        <f>IFERROR(VLOOKUP($A22,#REF!,8,FALSE),"")</f>
        <v/>
      </c>
      <c r="F22" s="9">
        <v>7572</v>
      </c>
      <c r="G22" s="18">
        <v>5.5290251916757939E-2</v>
      </c>
      <c r="H22" s="19">
        <f t="shared" si="0"/>
        <v>2211610.0766703174</v>
      </c>
      <c r="I22" s="11">
        <v>6.5849593703867157E-2</v>
      </c>
      <c r="J22" s="11">
        <v>6.6864246443753925E-2</v>
      </c>
      <c r="K22" s="21">
        <f t="shared" si="4"/>
        <v>0</v>
      </c>
      <c r="M22" s="21">
        <f t="shared" si="1"/>
        <v>0</v>
      </c>
      <c r="N22" s="21">
        <f t="shared" si="2"/>
        <v>2211610.0766703174</v>
      </c>
    </row>
    <row r="23" spans="1:14" x14ac:dyDescent="0.25">
      <c r="A23" s="3" t="s">
        <v>30</v>
      </c>
      <c r="B23" s="9" t="e">
        <f>VLOOKUP(A23,#REF!,3,FALSE)</f>
        <v>#REF!</v>
      </c>
      <c r="C23" s="10" t="e">
        <f t="shared" si="3"/>
        <v>#REF!</v>
      </c>
      <c r="D23" s="15" t="str">
        <f>IFERROR(VLOOKUP($A23,#REF!,7,FALSE),"")</f>
        <v/>
      </c>
      <c r="E23" s="15" t="str">
        <f>IFERROR(VLOOKUP($A23,#REF!,8,FALSE),"")</f>
        <v/>
      </c>
      <c r="F23" s="9">
        <v>7436</v>
      </c>
      <c r="G23" s="18">
        <v>5.4297188755020077E-2</v>
      </c>
      <c r="H23" s="19">
        <f t="shared" si="0"/>
        <v>2171887.5502008032</v>
      </c>
      <c r="I23" s="11">
        <v>4.5129739972854112E-2</v>
      </c>
      <c r="J23" s="11">
        <v>4.786542667109011E-2</v>
      </c>
      <c r="K23" s="21">
        <f t="shared" si="4"/>
        <v>0</v>
      </c>
      <c r="M23" s="21">
        <f t="shared" si="1"/>
        <v>0</v>
      </c>
      <c r="N23" s="21">
        <f t="shared" si="2"/>
        <v>2171887.5502008032</v>
      </c>
    </row>
    <row r="24" spans="1:14" x14ac:dyDescent="0.25">
      <c r="A24" s="3" t="s">
        <v>66</v>
      </c>
      <c r="B24" s="9" t="e">
        <f>VLOOKUP(A24,#REF!,3,FALSE)</f>
        <v>#REF!</v>
      </c>
      <c r="C24" s="10" t="e">
        <f t="shared" si="3"/>
        <v>#REF!</v>
      </c>
      <c r="D24" s="15" t="str">
        <f>IFERROR(VLOOKUP($A24,#REF!,7,FALSE),"")</f>
        <v/>
      </c>
      <c r="E24" s="15" t="str">
        <f>IFERROR(VLOOKUP($A24,#REF!,8,FALSE),"")</f>
        <v/>
      </c>
      <c r="F24" s="9">
        <v>5116</v>
      </c>
      <c r="G24" s="18">
        <v>3.7356699525374223E-2</v>
      </c>
      <c r="H24" s="19">
        <f t="shared" si="0"/>
        <v>1494267.9810149688</v>
      </c>
      <c r="I24" s="11">
        <v>4.1851297161815418E-2</v>
      </c>
      <c r="J24" s="11">
        <v>4.1265269098272959E-2</v>
      </c>
      <c r="K24" s="21">
        <f t="shared" si="4"/>
        <v>0</v>
      </c>
      <c r="M24" s="21">
        <f t="shared" si="1"/>
        <v>0</v>
      </c>
      <c r="N24" s="21">
        <f t="shared" si="2"/>
        <v>1494267.9810149688</v>
      </c>
    </row>
    <row r="25" spans="1:14" x14ac:dyDescent="0.25">
      <c r="A25" s="3" t="s">
        <v>46</v>
      </c>
      <c r="B25" s="9" t="e">
        <f>VLOOKUP(A25,#REF!,3,FALSE)</f>
        <v>#REF!</v>
      </c>
      <c r="C25" s="10" t="e">
        <f t="shared" si="3"/>
        <v>#REF!</v>
      </c>
      <c r="D25" s="15" t="str">
        <f>IFERROR(VLOOKUP($A25,#REF!,7,FALSE),"")</f>
        <v/>
      </c>
      <c r="E25" s="15" t="str">
        <f>IFERROR(VLOOKUP($A25,#REF!,8,FALSE),"")</f>
        <v/>
      </c>
      <c r="F25" s="9">
        <v>3625</v>
      </c>
      <c r="G25" s="18">
        <v>2.6469514421321651E-2</v>
      </c>
      <c r="H25" s="19">
        <f t="shared" si="0"/>
        <v>1058780.576852866</v>
      </c>
      <c r="I25" s="11">
        <v>2.6686714812351974E-2</v>
      </c>
      <c r="J25" s="11">
        <v>2.3361879301071583E-2</v>
      </c>
      <c r="K25" s="21">
        <f t="shared" si="4"/>
        <v>0</v>
      </c>
      <c r="M25" s="21">
        <f t="shared" si="1"/>
        <v>0</v>
      </c>
      <c r="N25" s="21">
        <f t="shared" si="2"/>
        <v>1058780.576852866</v>
      </c>
    </row>
    <row r="26" spans="1:14" x14ac:dyDescent="0.25">
      <c r="A26" s="3" t="s">
        <v>31</v>
      </c>
      <c r="B26" s="9" t="e">
        <f>VLOOKUP(A26,#REF!,3,FALSE)</f>
        <v>#REF!</v>
      </c>
      <c r="C26" s="10" t="e">
        <f t="shared" si="3"/>
        <v>#REF!</v>
      </c>
      <c r="D26" s="15" t="str">
        <f>IFERROR(VLOOKUP($A26,#REF!,7,FALSE),"")</f>
        <v/>
      </c>
      <c r="E26" s="15" t="str">
        <f>IFERROR(VLOOKUP($A26,#REF!,8,FALSE),"")</f>
        <v/>
      </c>
      <c r="F26" s="9">
        <v>3134</v>
      </c>
      <c r="G26" s="18">
        <v>2.2884264330047463E-2</v>
      </c>
      <c r="H26" s="19">
        <f t="shared" si="0"/>
        <v>915370.57320189849</v>
      </c>
      <c r="I26" s="11">
        <v>1.9476757672400768E-2</v>
      </c>
      <c r="J26" s="11">
        <v>1.8906976607212734E-2</v>
      </c>
      <c r="K26" s="21">
        <f t="shared" si="4"/>
        <v>0</v>
      </c>
      <c r="M26" s="21">
        <f t="shared" si="1"/>
        <v>0</v>
      </c>
      <c r="N26" s="21">
        <f t="shared" si="2"/>
        <v>915370.57320189849</v>
      </c>
    </row>
    <row r="27" spans="1:14" x14ac:dyDescent="0.25">
      <c r="A27" s="3" t="s">
        <v>56</v>
      </c>
      <c r="B27" s="9" t="e">
        <f>VLOOKUP(A27,#REF!,3,FALSE)</f>
        <v>#REF!</v>
      </c>
      <c r="C27" s="10" t="e">
        <f t="shared" si="3"/>
        <v>#REF!</v>
      </c>
      <c r="D27" s="15" t="str">
        <f>IFERROR(VLOOKUP($A27,#REF!,7,FALSE),"")</f>
        <v/>
      </c>
      <c r="E27" s="15" t="str">
        <f>IFERROR(VLOOKUP($A27,#REF!,8,FALSE),"")</f>
        <v/>
      </c>
      <c r="F27" s="9">
        <v>2377</v>
      </c>
      <c r="G27" s="18">
        <v>1.7356699525374223E-2</v>
      </c>
      <c r="H27" s="19">
        <f t="shared" si="0"/>
        <v>694267.98101496894</v>
      </c>
      <c r="I27" s="11">
        <v>2.1317015665389471E-2</v>
      </c>
      <c r="J27" s="11">
        <v>1.6737254070452214E-2</v>
      </c>
      <c r="K27" s="21">
        <f t="shared" si="4"/>
        <v>0</v>
      </c>
      <c r="M27" s="21">
        <f t="shared" si="1"/>
        <v>0</v>
      </c>
      <c r="N27" s="21">
        <f t="shared" si="2"/>
        <v>694267.98101496894</v>
      </c>
    </row>
    <row r="28" spans="1:14" x14ac:dyDescent="0.25">
      <c r="A28" s="3" t="s">
        <v>35</v>
      </c>
      <c r="B28" s="9" t="e">
        <f>VLOOKUP(A28,#REF!,3,FALSE)</f>
        <v>#REF!</v>
      </c>
      <c r="C28" s="10" t="e">
        <f t="shared" si="3"/>
        <v>#REF!</v>
      </c>
      <c r="D28" s="15" t="str">
        <f>IFERROR(VLOOKUP($A28,#REF!,7,FALSE),"")</f>
        <v/>
      </c>
      <c r="E28" s="15" t="str">
        <f>IFERROR(VLOOKUP($A28,#REF!,8,FALSE),"")</f>
        <v/>
      </c>
      <c r="F28" s="9">
        <v>2135</v>
      </c>
      <c r="G28" s="18">
        <v>1.5589631252281855E-2</v>
      </c>
      <c r="H28" s="19">
        <f t="shared" si="0"/>
        <v>623585.25009127415</v>
      </c>
      <c r="I28" s="11">
        <v>1.4561472587055384E-2</v>
      </c>
      <c r="J28" s="11">
        <v>1.4413982531578554E-2</v>
      </c>
      <c r="K28" s="21">
        <f t="shared" si="4"/>
        <v>0</v>
      </c>
      <c r="M28" s="21">
        <f t="shared" si="1"/>
        <v>0</v>
      </c>
      <c r="N28" s="21">
        <f t="shared" si="2"/>
        <v>623585.25009127415</v>
      </c>
    </row>
    <row r="29" spans="1:14" x14ac:dyDescent="0.25">
      <c r="A29" s="3" t="s">
        <v>43</v>
      </c>
      <c r="B29" s="9" t="e">
        <f>VLOOKUP(A29,#REF!,3,FALSE)</f>
        <v>#REF!</v>
      </c>
      <c r="C29" s="10" t="e">
        <f t="shared" si="3"/>
        <v>#REF!</v>
      </c>
      <c r="D29" s="15" t="str">
        <f>IFERROR(VLOOKUP($A29,#REF!,7,FALSE),"")</f>
        <v/>
      </c>
      <c r="E29" s="15" t="str">
        <f>IFERROR(VLOOKUP($A29,#REF!,8,FALSE),"")</f>
        <v/>
      </c>
      <c r="F29" s="9">
        <v>2118</v>
      </c>
      <c r="G29" s="18">
        <v>1.5465498357064622E-2</v>
      </c>
      <c r="H29" s="19">
        <f t="shared" si="0"/>
        <v>618619.93428258493</v>
      </c>
      <c r="I29" s="11">
        <v>1.3819183648707002E-2</v>
      </c>
      <c r="J29" s="11">
        <v>1.2151453535752697E-2</v>
      </c>
      <c r="K29" s="21">
        <f t="shared" si="4"/>
        <v>0</v>
      </c>
      <c r="M29" s="21">
        <f t="shared" si="1"/>
        <v>0</v>
      </c>
      <c r="N29" s="21">
        <f t="shared" si="2"/>
        <v>618619.93428258493</v>
      </c>
    </row>
    <row r="30" spans="1:14" x14ac:dyDescent="0.25">
      <c r="A30" s="3" t="s">
        <v>64</v>
      </c>
      <c r="B30" s="9" t="e">
        <f>VLOOKUP(A30,#REF!,3,FALSE)</f>
        <v>#REF!</v>
      </c>
      <c r="C30" s="10" t="e">
        <f t="shared" si="3"/>
        <v>#REF!</v>
      </c>
      <c r="D30" s="15" t="str">
        <f>IFERROR(VLOOKUP($A30,#REF!,7,FALSE),"")</f>
        <v/>
      </c>
      <c r="E30" s="15" t="str">
        <f>IFERROR(VLOOKUP($A30,#REF!,8,FALSE),"")</f>
        <v/>
      </c>
      <c r="F30" s="9">
        <v>1971</v>
      </c>
      <c r="G30" s="18">
        <v>1.4392113910186199E-2</v>
      </c>
      <c r="H30" s="19">
        <f t="shared" si="0"/>
        <v>575684.5564074479</v>
      </c>
      <c r="I30" s="11">
        <v>1.2747385037405891E-2</v>
      </c>
      <c r="J30" s="11">
        <v>1.0271379627462983E-2</v>
      </c>
      <c r="K30" s="21">
        <f t="shared" si="4"/>
        <v>0</v>
      </c>
      <c r="M30" s="21">
        <f t="shared" si="1"/>
        <v>0</v>
      </c>
      <c r="N30" s="21">
        <f t="shared" si="2"/>
        <v>575684.5564074479</v>
      </c>
    </row>
    <row r="31" spans="1:14" x14ac:dyDescent="0.25">
      <c r="A31" s="3" t="s">
        <v>19</v>
      </c>
      <c r="B31" s="9" t="e">
        <f>VLOOKUP(A31,#REF!,3,FALSE)</f>
        <v>#REF!</v>
      </c>
      <c r="C31" s="10" t="e">
        <f t="shared" si="3"/>
        <v>#REF!</v>
      </c>
      <c r="D31" s="15" t="str">
        <f>IFERROR(VLOOKUP($A31,#REF!,7,FALSE),"")</f>
        <v/>
      </c>
      <c r="E31" s="15" t="str">
        <f>IFERROR(VLOOKUP($A31,#REF!,8,FALSE),"")</f>
        <v/>
      </c>
      <c r="F31" s="9">
        <v>1587</v>
      </c>
      <c r="G31" s="18">
        <v>1.15881708652793E-2</v>
      </c>
      <c r="H31" s="19">
        <f t="shared" si="0"/>
        <v>463526.83461117197</v>
      </c>
      <c r="I31" s="11">
        <v>1.1573283783960612E-2</v>
      </c>
      <c r="J31" s="11">
        <v>1.2044142627124069E-2</v>
      </c>
      <c r="K31" s="21">
        <f t="shared" si="4"/>
        <v>0</v>
      </c>
      <c r="M31" s="21">
        <f t="shared" si="1"/>
        <v>0</v>
      </c>
      <c r="N31" s="21">
        <f t="shared" si="2"/>
        <v>463526.83461117197</v>
      </c>
    </row>
    <row r="32" spans="1:14" x14ac:dyDescent="0.25">
      <c r="A32" s="3" t="s">
        <v>59</v>
      </c>
      <c r="B32" s="9" t="e">
        <f>VLOOKUP(A32,#REF!,3,FALSE)</f>
        <v>#REF!</v>
      </c>
      <c r="C32" s="10" t="e">
        <f t="shared" si="3"/>
        <v>#REF!</v>
      </c>
      <c r="D32" s="15" t="str">
        <f>IFERROR(VLOOKUP($A32,#REF!,7,FALSE),"")</f>
        <v/>
      </c>
      <c r="E32" s="15" t="str">
        <f>IFERROR(VLOOKUP($A32,#REF!,8,FALSE),"")</f>
        <v/>
      </c>
      <c r="F32" s="9">
        <v>1577</v>
      </c>
      <c r="G32" s="18">
        <v>1.1515151515151515E-2</v>
      </c>
      <c r="H32" s="19">
        <f t="shared" si="0"/>
        <v>460606.06060606061</v>
      </c>
      <c r="I32" s="11">
        <v>1.0026848495734812E-2</v>
      </c>
      <c r="J32" s="11">
        <v>8.4656995088688795E-3</v>
      </c>
      <c r="K32" s="21">
        <f t="shared" si="4"/>
        <v>0</v>
      </c>
      <c r="M32" s="21">
        <f t="shared" si="1"/>
        <v>0</v>
      </c>
      <c r="N32" s="21">
        <f t="shared" si="2"/>
        <v>460606.06060606061</v>
      </c>
    </row>
    <row r="33" spans="1:14" x14ac:dyDescent="0.25">
      <c r="A33" s="3" t="s">
        <v>54</v>
      </c>
      <c r="B33" s="9" t="e">
        <f>VLOOKUP(A33,#REF!,3,FALSE)</f>
        <v>#REF!</v>
      </c>
      <c r="C33" s="10" t="e">
        <f t="shared" si="3"/>
        <v>#REF!</v>
      </c>
      <c r="D33" s="15" t="str">
        <f>IFERROR(VLOOKUP($A33,#REF!,7,FALSE),"")</f>
        <v/>
      </c>
      <c r="E33" s="15" t="str">
        <f>IFERROR(VLOOKUP($A33,#REF!,8,FALSE),"")</f>
        <v/>
      </c>
      <c r="F33" s="9">
        <v>1429</v>
      </c>
      <c r="G33" s="18">
        <v>1.0434465133260315E-2</v>
      </c>
      <c r="H33" s="19">
        <f t="shared" si="0"/>
        <v>417378.60533041257</v>
      </c>
      <c r="I33" s="11">
        <v>1.0213610295928236E-2</v>
      </c>
      <c r="J33" s="11">
        <v>1.0626669835076978E-2</v>
      </c>
      <c r="K33" s="21">
        <f t="shared" si="4"/>
        <v>0</v>
      </c>
      <c r="M33" s="21">
        <f t="shared" si="1"/>
        <v>0</v>
      </c>
      <c r="N33" s="21">
        <f t="shared" si="2"/>
        <v>417378.60533041257</v>
      </c>
    </row>
    <row r="34" spans="1:14" x14ac:dyDescent="0.25">
      <c r="A34" s="3" t="s">
        <v>50</v>
      </c>
      <c r="B34" s="9" t="e">
        <f>VLOOKUP(A34,#REF!,3,FALSE)</f>
        <v>#REF!</v>
      </c>
      <c r="C34" s="10" t="e">
        <f t="shared" si="3"/>
        <v>#REF!</v>
      </c>
      <c r="D34" s="15" t="str">
        <f>IFERROR(VLOOKUP($A34,#REF!,7,FALSE),"")</f>
        <v/>
      </c>
      <c r="E34" s="15" t="str">
        <f>IFERROR(VLOOKUP($A34,#REF!,8,FALSE),"")</f>
        <v/>
      </c>
      <c r="F34" s="9">
        <v>1091</v>
      </c>
      <c r="G34" s="18">
        <v>7.9664110989412194E-3</v>
      </c>
      <c r="H34" s="19">
        <f t="shared" si="0"/>
        <v>318656.44395764876</v>
      </c>
      <c r="I34" s="11">
        <v>8.1128374351538048E-3</v>
      </c>
      <c r="J34" s="11">
        <v>6.9558055752021583E-3</v>
      </c>
      <c r="K34" s="21">
        <f t="shared" si="4"/>
        <v>0</v>
      </c>
      <c r="M34" s="21">
        <f t="shared" si="1"/>
        <v>0</v>
      </c>
      <c r="N34" s="21">
        <f t="shared" si="2"/>
        <v>318656.44395764876</v>
      </c>
    </row>
    <row r="35" spans="1:14" x14ac:dyDescent="0.25">
      <c r="A35" s="3" t="s">
        <v>38</v>
      </c>
      <c r="B35" s="9" t="e">
        <f>VLOOKUP(A35,#REF!,3,FALSE)</f>
        <v>#REF!</v>
      </c>
      <c r="C35" s="10" t="e">
        <f t="shared" si="3"/>
        <v>#REF!</v>
      </c>
      <c r="D35" s="15" t="str">
        <f>IFERROR(VLOOKUP($A35,#REF!,7,FALSE),"")</f>
        <v/>
      </c>
      <c r="E35" s="15" t="str">
        <f>IFERROR(VLOOKUP($A35,#REF!,8,FALSE),"")</f>
        <v/>
      </c>
      <c r="F35" s="9">
        <v>1085</v>
      </c>
      <c r="G35" s="18">
        <v>7.9225994888645485E-3</v>
      </c>
      <c r="H35" s="19">
        <f t="shared" si="0"/>
        <v>316903.97955458192</v>
      </c>
      <c r="I35" s="11">
        <v>5.5445652910926513E-3</v>
      </c>
      <c r="J35" s="11">
        <v>3.9743567937162872E-3</v>
      </c>
      <c r="K35" s="21">
        <f t="shared" si="4"/>
        <v>0</v>
      </c>
      <c r="M35" s="21">
        <f t="shared" si="1"/>
        <v>0</v>
      </c>
      <c r="N35" s="21">
        <f t="shared" si="2"/>
        <v>316903.97955458192</v>
      </c>
    </row>
    <row r="36" spans="1:14" x14ac:dyDescent="0.25">
      <c r="A36" s="3" t="s">
        <v>20</v>
      </c>
      <c r="B36" s="9" t="e">
        <f>VLOOKUP(A36,#REF!,3,FALSE)</f>
        <v>#REF!</v>
      </c>
      <c r="C36" s="10" t="e">
        <f t="shared" si="3"/>
        <v>#REF!</v>
      </c>
      <c r="D36" s="15" t="str">
        <f>IFERROR(VLOOKUP($A36,#REF!,7,FALSE),"")</f>
        <v/>
      </c>
      <c r="E36" s="15" t="str">
        <f>IFERROR(VLOOKUP($A36,#REF!,8,FALSE),"")</f>
        <v/>
      </c>
      <c r="F36" s="9">
        <v>881</v>
      </c>
      <c r="G36" s="18">
        <v>6.4330047462577587E-3</v>
      </c>
      <c r="H36" s="19">
        <f t="shared" si="0"/>
        <v>257320.18985031036</v>
      </c>
      <c r="I36" s="11">
        <v>4.8688920266986109E-3</v>
      </c>
      <c r="J36" s="11">
        <v>3.5463516795629663E-3</v>
      </c>
      <c r="K36" s="21">
        <f t="shared" si="4"/>
        <v>0</v>
      </c>
      <c r="M36" s="21">
        <f t="shared" si="1"/>
        <v>0</v>
      </c>
      <c r="N36" s="21">
        <f t="shared" si="2"/>
        <v>257320.18985031036</v>
      </c>
    </row>
    <row r="37" spans="1:14" x14ac:dyDescent="0.25">
      <c r="A37" s="3" t="s">
        <v>37</v>
      </c>
      <c r="B37" s="9" t="e">
        <f>VLOOKUP(A37,#REF!,3,FALSE)</f>
        <v>#REF!</v>
      </c>
      <c r="C37" s="10" t="e">
        <f t="shared" si="3"/>
        <v>#REF!</v>
      </c>
      <c r="D37" s="15" t="str">
        <f>IFERROR(VLOOKUP($A37,#REF!,7,FALSE),"")</f>
        <v/>
      </c>
      <c r="E37" s="15" t="str">
        <f>IFERROR(VLOOKUP($A37,#REF!,8,FALSE),"")</f>
        <v/>
      </c>
      <c r="F37" s="9">
        <v>771</v>
      </c>
      <c r="G37" s="18">
        <v>5.6297918948521354E-3</v>
      </c>
      <c r="H37" s="19">
        <f t="shared" si="0"/>
        <v>225191.67579408543</v>
      </c>
      <c r="I37" s="11">
        <v>4.4691979829725578E-3</v>
      </c>
      <c r="J37" s="11">
        <v>3.3083080661418314E-3</v>
      </c>
      <c r="K37" s="21">
        <f t="shared" si="4"/>
        <v>0</v>
      </c>
      <c r="M37" s="21">
        <f t="shared" si="1"/>
        <v>0</v>
      </c>
      <c r="N37" s="21">
        <f t="shared" si="2"/>
        <v>225191.67579408543</v>
      </c>
    </row>
    <row r="38" spans="1:14" x14ac:dyDescent="0.25">
      <c r="A38" s="3" t="s">
        <v>34</v>
      </c>
      <c r="B38" s="9" t="e">
        <f>VLOOKUP(A38,#REF!,3,FALSE)</f>
        <v>#REF!</v>
      </c>
      <c r="C38" s="10" t="e">
        <f t="shared" si="3"/>
        <v>#REF!</v>
      </c>
      <c r="D38" s="15" t="str">
        <f>IFERROR(VLOOKUP($A38,#REF!,7,FALSE),"")</f>
        <v/>
      </c>
      <c r="E38" s="15" t="str">
        <f>IFERROR(VLOOKUP($A38,#REF!,8,FALSE),"")</f>
        <v/>
      </c>
      <c r="F38" s="9">
        <v>732</v>
      </c>
      <c r="G38" s="18">
        <v>5.3450164293537784E-3</v>
      </c>
      <c r="H38" s="19">
        <f t="shared" si="0"/>
        <v>213800.65717415113</v>
      </c>
      <c r="I38" s="11">
        <v>5.1972121340450109E-3</v>
      </c>
      <c r="J38" s="11">
        <v>3.2605837482238931E-3</v>
      </c>
      <c r="K38" s="21">
        <f t="shared" si="4"/>
        <v>0</v>
      </c>
      <c r="M38" s="21">
        <f t="shared" si="1"/>
        <v>0</v>
      </c>
      <c r="N38" s="21">
        <f t="shared" si="2"/>
        <v>213800.65717415113</v>
      </c>
    </row>
    <row r="39" spans="1:14" x14ac:dyDescent="0.25">
      <c r="A39" s="3" t="s">
        <v>27</v>
      </c>
      <c r="B39" s="9" t="e">
        <f>VLOOKUP(A39,#REF!,3,FALSE)</f>
        <v>#REF!</v>
      </c>
      <c r="C39" s="10" t="e">
        <f t="shared" si="3"/>
        <v>#REF!</v>
      </c>
      <c r="D39" s="15" t="str">
        <f>IFERROR(VLOOKUP($A39,#REF!,7,FALSE),"")</f>
        <v/>
      </c>
      <c r="E39" s="15" t="str">
        <f>IFERROR(VLOOKUP($A39,#REF!,8,FALSE),"")</f>
        <v/>
      </c>
      <c r="F39" s="9">
        <v>730</v>
      </c>
      <c r="G39" s="18">
        <v>5.3304125593282223E-3</v>
      </c>
      <c r="H39" s="19">
        <f t="shared" si="0"/>
        <v>213216.5023731289</v>
      </c>
      <c r="I39" s="11">
        <v>4.5833962811800012E-3</v>
      </c>
      <c r="J39" s="11">
        <v>3.0780808923335534E-3</v>
      </c>
      <c r="K39" s="21">
        <f t="shared" si="4"/>
        <v>0</v>
      </c>
      <c r="M39" s="21">
        <f t="shared" si="1"/>
        <v>0</v>
      </c>
      <c r="N39" s="21">
        <f t="shared" si="2"/>
        <v>213216.5023731289</v>
      </c>
    </row>
    <row r="40" spans="1:14" x14ac:dyDescent="0.25">
      <c r="A40" s="3" t="s">
        <v>49</v>
      </c>
      <c r="B40" s="9" t="e">
        <f>VLOOKUP(A40,#REF!,3,FALSE)</f>
        <v>#REF!</v>
      </c>
      <c r="C40" s="10" t="e">
        <f t="shared" si="3"/>
        <v>#REF!</v>
      </c>
      <c r="D40" s="15" t="str">
        <f>IFERROR(VLOOKUP($A40,#REF!,7,FALSE),"")</f>
        <v/>
      </c>
      <c r="E40" s="15" t="str">
        <f>IFERROR(VLOOKUP($A40,#REF!,8,FALSE),"")</f>
        <v/>
      </c>
      <c r="F40" s="9">
        <v>642</v>
      </c>
      <c r="G40" s="18">
        <v>4.6878422782037242E-3</v>
      </c>
      <c r="H40" s="19">
        <f t="shared" si="0"/>
        <v>187513.69112814896</v>
      </c>
      <c r="I40" s="11">
        <v>4.8141720088075435E-3</v>
      </c>
      <c r="J40" s="11">
        <v>3.5541405965011305E-3</v>
      </c>
      <c r="K40" s="21">
        <f t="shared" si="4"/>
        <v>12486.308871851041</v>
      </c>
      <c r="L40" s="21"/>
      <c r="M40" s="21">
        <f t="shared" si="1"/>
        <v>0</v>
      </c>
      <c r="N40" s="21">
        <f t="shared" si="2"/>
        <v>200000</v>
      </c>
    </row>
    <row r="41" spans="1:14" x14ac:dyDescent="0.25">
      <c r="A41" s="3" t="s">
        <v>65</v>
      </c>
      <c r="B41" s="9" t="e">
        <f>VLOOKUP(A41,#REF!,3,FALSE)</f>
        <v>#REF!</v>
      </c>
      <c r="C41" s="10" t="e">
        <f t="shared" si="3"/>
        <v>#REF!</v>
      </c>
      <c r="D41" s="15" t="str">
        <f>IFERROR(VLOOKUP($A41,#REF!,7,FALSE),"")</f>
        <v/>
      </c>
      <c r="E41" s="15" t="str">
        <f>IFERROR(VLOOKUP($A41,#REF!,8,FALSE),"")</f>
        <v/>
      </c>
      <c r="F41" s="9">
        <v>637</v>
      </c>
      <c r="G41" s="18">
        <v>4.6513326031398317E-3</v>
      </c>
      <c r="H41" s="19">
        <f t="shared" si="0"/>
        <v>186053.30412559328</v>
      </c>
      <c r="I41" s="11">
        <v>3.1202305853971304E-3</v>
      </c>
      <c r="J41" s="11">
        <v>2.2417218537578278E-3</v>
      </c>
      <c r="K41" s="21">
        <f t="shared" si="4"/>
        <v>13946.695874406723</v>
      </c>
      <c r="L41" s="21"/>
      <c r="M41" s="21">
        <f t="shared" si="1"/>
        <v>0</v>
      </c>
      <c r="N41" s="21">
        <f t="shared" si="2"/>
        <v>200000</v>
      </c>
    </row>
    <row r="42" spans="1:14" x14ac:dyDescent="0.25">
      <c r="A42" s="3" t="s">
        <v>32</v>
      </c>
      <c r="B42" s="9" t="e">
        <f>VLOOKUP(A42,#REF!,3,FALSE)</f>
        <v>#REF!</v>
      </c>
      <c r="C42" s="10" t="e">
        <f t="shared" si="3"/>
        <v>#REF!</v>
      </c>
      <c r="D42" s="15" t="str">
        <f>IFERROR(VLOOKUP($A42,#REF!,7,FALSE),"")</f>
        <v/>
      </c>
      <c r="E42" s="15" t="str">
        <f>IFERROR(VLOOKUP($A42,#REF!,8,FALSE),"")</f>
        <v/>
      </c>
      <c r="F42" s="9">
        <v>585</v>
      </c>
      <c r="G42" s="18">
        <v>4.271631982475356E-3</v>
      </c>
      <c r="H42" s="19">
        <f t="shared" si="0"/>
        <v>170865.27929901425</v>
      </c>
      <c r="I42" s="11">
        <v>2.4624008050980022E-3</v>
      </c>
      <c r="J42" s="11">
        <v>2.3546473880238605E-3</v>
      </c>
      <c r="K42" s="21">
        <f t="shared" si="4"/>
        <v>29134.720700985752</v>
      </c>
      <c r="L42" s="21"/>
      <c r="M42" s="21">
        <f t="shared" si="1"/>
        <v>0</v>
      </c>
      <c r="N42" s="21">
        <f t="shared" si="2"/>
        <v>200000</v>
      </c>
    </row>
    <row r="43" spans="1:14" x14ac:dyDescent="0.25">
      <c r="A43" s="3" t="s">
        <v>62</v>
      </c>
      <c r="B43" s="9" t="e">
        <f>VLOOKUP(A43,#REF!,3,FALSE)</f>
        <v>#REF!</v>
      </c>
      <c r="C43" s="10" t="e">
        <f t="shared" si="3"/>
        <v>#REF!</v>
      </c>
      <c r="D43" s="15" t="str">
        <f>IFERROR(VLOOKUP($A43,#REF!,7,FALSE),"")</f>
        <v/>
      </c>
      <c r="E43" s="15" t="str">
        <f>IFERROR(VLOOKUP($A43,#REF!,8,FALSE),"")</f>
        <v/>
      </c>
      <c r="F43" s="9">
        <v>572</v>
      </c>
      <c r="G43" s="18">
        <v>4.1767068273092373E-3</v>
      </c>
      <c r="H43" s="19">
        <f t="shared" si="0"/>
        <v>167068.27309236949</v>
      </c>
      <c r="I43" s="11">
        <v>3.5877298686838527E-3</v>
      </c>
      <c r="J43" s="11">
        <v>3.148979302343132E-3</v>
      </c>
      <c r="K43" s="21">
        <f t="shared" si="4"/>
        <v>32931.726907630509</v>
      </c>
      <c r="L43" s="21"/>
      <c r="M43" s="21">
        <f t="shared" si="1"/>
        <v>0</v>
      </c>
      <c r="N43" s="21">
        <f t="shared" si="2"/>
        <v>200000</v>
      </c>
    </row>
    <row r="44" spans="1:14" x14ac:dyDescent="0.25">
      <c r="A44" s="3" t="s">
        <v>5</v>
      </c>
      <c r="B44" s="9" t="e">
        <f>VLOOKUP(A44,#REF!,3,FALSE)</f>
        <v>#REF!</v>
      </c>
      <c r="C44" s="10" t="e">
        <f t="shared" si="3"/>
        <v>#REF!</v>
      </c>
      <c r="D44" s="15" t="str">
        <f>IFERROR(VLOOKUP($A44,#REF!,7,FALSE),"")</f>
        <v/>
      </c>
      <c r="E44" s="15" t="str">
        <f>IFERROR(VLOOKUP($A44,#REF!,8,FALSE),"")</f>
        <v/>
      </c>
      <c r="F44" s="9">
        <v>559</v>
      </c>
      <c r="G44" s="18">
        <v>4.0817816721431177E-3</v>
      </c>
      <c r="H44" s="19">
        <f t="shared" si="0"/>
        <v>163271.2668857247</v>
      </c>
      <c r="I44" s="11">
        <v>3.9445995505821138E-3</v>
      </c>
      <c r="J44" s="11">
        <v>3.1373922562973116E-3</v>
      </c>
      <c r="K44" s="21">
        <f t="shared" si="4"/>
        <v>36728.733114275296</v>
      </c>
      <c r="L44" s="21"/>
      <c r="M44" s="21">
        <f t="shared" si="1"/>
        <v>0</v>
      </c>
      <c r="N44" s="21">
        <f t="shared" si="2"/>
        <v>200000</v>
      </c>
    </row>
    <row r="45" spans="1:14" x14ac:dyDescent="0.25">
      <c r="A45" s="3" t="s">
        <v>15</v>
      </c>
      <c r="B45" s="9" t="e">
        <f>VLOOKUP(A45,#REF!,3,FALSE)</f>
        <v>#REF!</v>
      </c>
      <c r="C45" s="10" t="e">
        <f t="shared" si="3"/>
        <v>#REF!</v>
      </c>
      <c r="D45" s="15" t="str">
        <f>IFERROR(VLOOKUP($A45,#REF!,7,FALSE),"")</f>
        <v/>
      </c>
      <c r="E45" s="15" t="str">
        <f>IFERROR(VLOOKUP($A45,#REF!,8,FALSE),"")</f>
        <v/>
      </c>
      <c r="F45" s="9">
        <v>483</v>
      </c>
      <c r="G45" s="18">
        <v>3.5268346111719607E-3</v>
      </c>
      <c r="H45" s="19">
        <f t="shared" si="0"/>
        <v>141073.38444687842</v>
      </c>
      <c r="I45" s="11">
        <v>2.62775042437753E-3</v>
      </c>
      <c r="J45" s="11">
        <v>1.8356247886602618E-3</v>
      </c>
      <c r="K45" s="21">
        <f t="shared" si="4"/>
        <v>58926.615553121577</v>
      </c>
      <c r="L45" s="21"/>
      <c r="M45" s="21">
        <f t="shared" si="1"/>
        <v>0</v>
      </c>
      <c r="N45" s="21">
        <f t="shared" si="2"/>
        <v>200000</v>
      </c>
    </row>
    <row r="46" spans="1:14" x14ac:dyDescent="0.25">
      <c r="A46" s="3" t="s">
        <v>9</v>
      </c>
      <c r="B46" s="9" t="e">
        <f>VLOOKUP(A46,#REF!,3,FALSE)</f>
        <v>#REF!</v>
      </c>
      <c r="C46" s="10" t="e">
        <f t="shared" si="3"/>
        <v>#REF!</v>
      </c>
      <c r="D46" s="15" t="str">
        <f>IFERROR(VLOOKUP($A46,#REF!,7,FALSE),"")</f>
        <v/>
      </c>
      <c r="E46" s="15" t="str">
        <f>IFERROR(VLOOKUP($A46,#REF!,8,FALSE),"")</f>
        <v/>
      </c>
      <c r="F46" s="9">
        <v>455</v>
      </c>
      <c r="G46" s="18">
        <v>3.3223804308141658E-3</v>
      </c>
      <c r="H46" s="19">
        <f t="shared" si="0"/>
        <v>132895.21723256662</v>
      </c>
      <c r="I46" s="11">
        <v>3.2796323766450205E-3</v>
      </c>
      <c r="J46" s="11">
        <v>2.3570969060715515E-3</v>
      </c>
      <c r="K46" s="21">
        <f t="shared" si="4"/>
        <v>67104.782767433382</v>
      </c>
      <c r="L46" s="21"/>
      <c r="M46" s="21">
        <f t="shared" si="1"/>
        <v>0</v>
      </c>
      <c r="N46" s="21">
        <f t="shared" si="2"/>
        <v>200000</v>
      </c>
    </row>
    <row r="47" spans="1:14" x14ac:dyDescent="0.25">
      <c r="A47" s="3" t="s">
        <v>53</v>
      </c>
      <c r="B47" s="9" t="e">
        <f>VLOOKUP(A47,#REF!,3,FALSE)</f>
        <v>#REF!</v>
      </c>
      <c r="C47" s="10" t="e">
        <f t="shared" si="3"/>
        <v>#REF!</v>
      </c>
      <c r="D47" s="15" t="str">
        <f>IFERROR(VLOOKUP($A47,#REF!,7,FALSE),"")</f>
        <v/>
      </c>
      <c r="E47" s="15" t="str">
        <f>IFERROR(VLOOKUP($A47,#REF!,8,FALSE),"")</f>
        <v/>
      </c>
      <c r="F47" s="9">
        <v>448</v>
      </c>
      <c r="G47" s="18">
        <v>3.2712668857247172E-3</v>
      </c>
      <c r="H47" s="19">
        <f t="shared" si="0"/>
        <v>130850.67542898869</v>
      </c>
      <c r="I47" s="11">
        <v>1.5880700844472624E-3</v>
      </c>
      <c r="J47" s="11">
        <v>1.2528596747073059E-3</v>
      </c>
      <c r="K47" s="21">
        <f t="shared" si="4"/>
        <v>69149.324571011311</v>
      </c>
      <c r="L47" s="21"/>
      <c r="M47" s="21">
        <f t="shared" si="1"/>
        <v>0</v>
      </c>
      <c r="N47" s="21">
        <f t="shared" si="2"/>
        <v>200000</v>
      </c>
    </row>
    <row r="48" spans="1:14" x14ac:dyDescent="0.25">
      <c r="A48" s="3" t="s">
        <v>13</v>
      </c>
      <c r="B48" s="9" t="e">
        <f>VLOOKUP(A48,#REF!,3,FALSE)</f>
        <v>#REF!</v>
      </c>
      <c r="C48" s="10" t="e">
        <f t="shared" si="3"/>
        <v>#REF!</v>
      </c>
      <c r="D48" s="15" t="str">
        <f>IFERROR(VLOOKUP($A48,#REF!,7,FALSE),"")</f>
        <v/>
      </c>
      <c r="E48" s="15" t="str">
        <f>IFERROR(VLOOKUP($A48,#REF!,8,FALSE),"")</f>
        <v/>
      </c>
      <c r="F48" s="9">
        <v>395</v>
      </c>
      <c r="G48" s="18">
        <v>2.8842643300474625E-3</v>
      </c>
      <c r="H48" s="19">
        <f t="shared" si="0"/>
        <v>115370.5732018985</v>
      </c>
      <c r="I48" s="11">
        <v>3.694790773253331E-3</v>
      </c>
      <c r="J48" s="11">
        <v>2.6538463846131955E-3</v>
      </c>
      <c r="K48" s="21">
        <f t="shared" si="4"/>
        <v>84629.4267981015</v>
      </c>
      <c r="L48" s="21"/>
      <c r="M48" s="21">
        <f t="shared" si="1"/>
        <v>0</v>
      </c>
      <c r="N48" s="21">
        <f t="shared" ref="N48:N79" si="5">K48+H48+M48</f>
        <v>200000</v>
      </c>
    </row>
    <row r="49" spans="1:14" x14ac:dyDescent="0.25">
      <c r="A49" s="3" t="s">
        <v>48</v>
      </c>
      <c r="B49" s="9" t="e">
        <f>VLOOKUP(A49,#REF!,3,FALSE)</f>
        <v>#REF!</v>
      </c>
      <c r="C49" s="10" t="e">
        <f t="shared" si="3"/>
        <v>#REF!</v>
      </c>
      <c r="D49" s="15" t="str">
        <f>IFERROR(VLOOKUP($A49,#REF!,7,FALSE),"")</f>
        <v/>
      </c>
      <c r="E49" s="15" t="str">
        <f>IFERROR(VLOOKUP($A49,#REF!,8,FALSE),"")</f>
        <v/>
      </c>
      <c r="F49" s="9">
        <v>335</v>
      </c>
      <c r="G49" s="18">
        <v>2.4461482292807593E-3</v>
      </c>
      <c r="H49" s="19">
        <f t="shared" si="0"/>
        <v>97845.929171230368</v>
      </c>
      <c r="I49" s="11">
        <v>1.9532667255898165E-3</v>
      </c>
      <c r="J49" s="11">
        <v>1.5497467666224158E-3</v>
      </c>
      <c r="K49" s="21">
        <f t="shared" si="4"/>
        <v>102154.07082876963</v>
      </c>
      <c r="L49" s="21"/>
      <c r="M49" s="21">
        <f t="shared" si="1"/>
        <v>0</v>
      </c>
      <c r="N49" s="21">
        <f t="shared" si="5"/>
        <v>200000</v>
      </c>
    </row>
    <row r="50" spans="1:14" x14ac:dyDescent="0.25">
      <c r="A50" s="3" t="s">
        <v>7</v>
      </c>
      <c r="B50" s="9" t="e">
        <f>VLOOKUP(A50,#REF!,3,FALSE)</f>
        <v>#REF!</v>
      </c>
      <c r="C50" s="10" t="e">
        <f t="shared" si="3"/>
        <v>#REF!</v>
      </c>
      <c r="D50" s="15" t="str">
        <f>IFERROR(VLOOKUP($A50,#REF!,7,FALSE),"")</f>
        <v/>
      </c>
      <c r="E50" s="15" t="str">
        <f>IFERROR(VLOOKUP($A50,#REF!,8,FALSE),"")</f>
        <v/>
      </c>
      <c r="F50" s="9">
        <v>332</v>
      </c>
      <c r="G50" s="18">
        <v>2.4242424242424242E-3</v>
      </c>
      <c r="H50" s="19">
        <f t="shared" si="0"/>
        <v>96969.696969696975</v>
      </c>
      <c r="I50" s="11">
        <v>1.9604041192277815E-3</v>
      </c>
      <c r="J50" s="11">
        <v>1.4189039711311362E-3</v>
      </c>
      <c r="K50" s="21">
        <f t="shared" si="4"/>
        <v>103030.30303030302</v>
      </c>
      <c r="L50" s="21"/>
      <c r="M50" s="21">
        <f t="shared" si="1"/>
        <v>0</v>
      </c>
      <c r="N50" s="21">
        <f t="shared" si="5"/>
        <v>200000</v>
      </c>
    </row>
    <row r="51" spans="1:14" x14ac:dyDescent="0.25">
      <c r="A51" s="3" t="s">
        <v>22</v>
      </c>
      <c r="B51" s="9" t="e">
        <f>VLOOKUP(A51,#REF!,3,FALSE)</f>
        <v>#REF!</v>
      </c>
      <c r="C51" s="10" t="e">
        <f t="shared" si="3"/>
        <v>#REF!</v>
      </c>
      <c r="D51" s="15" t="str">
        <f>IFERROR(VLOOKUP($A51,#REF!,7,FALSE),"")</f>
        <v/>
      </c>
      <c r="E51" s="15" t="str">
        <f>IFERROR(VLOOKUP($A51,#REF!,8,FALSE),"")</f>
        <v/>
      </c>
      <c r="F51" s="9">
        <v>328</v>
      </c>
      <c r="G51" s="18">
        <v>2.3950346841913107E-3</v>
      </c>
      <c r="H51" s="19">
        <f t="shared" si="0"/>
        <v>95801.387367652424</v>
      </c>
      <c r="I51" s="11">
        <v>1.4584074333575609E-3</v>
      </c>
      <c r="J51" s="11">
        <v>1.1167325256749398E-3</v>
      </c>
      <c r="K51" s="21">
        <f t="shared" si="4"/>
        <v>104198.61263234758</v>
      </c>
      <c r="L51" s="21"/>
      <c r="M51" s="21">
        <f t="shared" si="1"/>
        <v>0</v>
      </c>
      <c r="N51" s="21">
        <f t="shared" si="5"/>
        <v>200000</v>
      </c>
    </row>
    <row r="52" spans="1:14" x14ac:dyDescent="0.25">
      <c r="A52" s="3" t="s">
        <v>51</v>
      </c>
      <c r="B52" s="9" t="e">
        <f>VLOOKUP(A52,#REF!,3,FALSE)</f>
        <v>#REF!</v>
      </c>
      <c r="C52" s="10" t="e">
        <f t="shared" si="3"/>
        <v>#REF!</v>
      </c>
      <c r="D52" s="15" t="str">
        <f>IFERROR(VLOOKUP($A52,#REF!,7,FALSE),"")</f>
        <v/>
      </c>
      <c r="E52" s="15" t="str">
        <f>IFERROR(VLOOKUP($A52,#REF!,8,FALSE),"")</f>
        <v/>
      </c>
      <c r="F52" s="9">
        <v>326</v>
      </c>
      <c r="G52" s="18">
        <v>2.3804308141657541E-3</v>
      </c>
      <c r="H52" s="19">
        <f t="shared" si="0"/>
        <v>95217.232566630162</v>
      </c>
      <c r="I52" s="11">
        <v>2.3957851311436603E-3</v>
      </c>
      <c r="J52" s="11">
        <v>1.5812051837966969E-3</v>
      </c>
      <c r="K52" s="21">
        <f t="shared" si="4"/>
        <v>104782.76743336984</v>
      </c>
      <c r="L52" s="21"/>
      <c r="M52" s="21">
        <f t="shared" si="1"/>
        <v>0</v>
      </c>
      <c r="N52" s="21">
        <f t="shared" si="5"/>
        <v>200000</v>
      </c>
    </row>
    <row r="53" spans="1:14" x14ac:dyDescent="0.25">
      <c r="A53" s="3" t="s">
        <v>45</v>
      </c>
      <c r="B53" s="9" t="e">
        <f>VLOOKUP(A53,#REF!,3,FALSE)</f>
        <v>#REF!</v>
      </c>
      <c r="C53" s="10" t="e">
        <f t="shared" si="3"/>
        <v>#REF!</v>
      </c>
      <c r="D53" s="15" t="str">
        <f>IFERROR(VLOOKUP($A53,#REF!,7,FALSE),"")</f>
        <v/>
      </c>
      <c r="E53" s="15" t="str">
        <f>IFERROR(VLOOKUP($A53,#REF!,8,FALSE),"")</f>
        <v/>
      </c>
      <c r="F53" s="9">
        <v>312</v>
      </c>
      <c r="G53" s="18">
        <v>2.2782037239868565E-3</v>
      </c>
      <c r="H53" s="19">
        <f t="shared" si="0"/>
        <v>91128.14895947426</v>
      </c>
      <c r="I53" s="11">
        <v>2.1769050595793933E-3</v>
      </c>
      <c r="J53" s="11">
        <v>1.3492165588080568E-3</v>
      </c>
      <c r="K53" s="21">
        <f t="shared" si="4"/>
        <v>108871.85104052574</v>
      </c>
      <c r="L53" s="21"/>
      <c r="M53" s="21">
        <f t="shared" si="1"/>
        <v>0</v>
      </c>
      <c r="N53" s="21">
        <f t="shared" si="5"/>
        <v>200000</v>
      </c>
    </row>
    <row r="54" spans="1:14" x14ac:dyDescent="0.25">
      <c r="A54" s="3" t="s">
        <v>58</v>
      </c>
      <c r="B54" s="9" t="e">
        <f>VLOOKUP(A54,#REF!,3,FALSE)</f>
        <v>#REF!</v>
      </c>
      <c r="C54" s="10" t="e">
        <f t="shared" si="3"/>
        <v>#REF!</v>
      </c>
      <c r="D54" s="15" t="str">
        <f>IFERROR(VLOOKUP($A54,#REF!,7,FALSE),"")</f>
        <v/>
      </c>
      <c r="E54" s="15" t="str">
        <f>IFERROR(VLOOKUP($A54,#REF!,8,FALSE),"")</f>
        <v/>
      </c>
      <c r="F54" s="9">
        <v>303</v>
      </c>
      <c r="G54" s="18">
        <v>2.2124863088718509E-3</v>
      </c>
      <c r="H54" s="19">
        <f t="shared" si="0"/>
        <v>88499.45235487404</v>
      </c>
      <c r="I54" s="11">
        <v>2.0757919830415527E-3</v>
      </c>
      <c r="J54" s="11">
        <v>1.5979389700101377E-3</v>
      </c>
      <c r="K54" s="21">
        <f t="shared" si="4"/>
        <v>111500.54764512596</v>
      </c>
      <c r="L54" s="21"/>
      <c r="M54" s="21">
        <f t="shared" si="1"/>
        <v>0</v>
      </c>
      <c r="N54" s="21">
        <f t="shared" si="5"/>
        <v>200000</v>
      </c>
    </row>
    <row r="55" spans="1:14" x14ac:dyDescent="0.25">
      <c r="A55" s="3" t="s">
        <v>55</v>
      </c>
      <c r="B55" s="9" t="e">
        <f>VLOOKUP(A55,#REF!,3,FALSE)</f>
        <v>#REF!</v>
      </c>
      <c r="C55" s="10" t="e">
        <f t="shared" si="3"/>
        <v>#REF!</v>
      </c>
      <c r="D55" s="15" t="str">
        <f>IFERROR(VLOOKUP($A55,#REF!,7,FALSE),"")</f>
        <v/>
      </c>
      <c r="E55" s="15" t="str">
        <f>IFERROR(VLOOKUP($A55,#REF!,8,FALSE),"")</f>
        <v/>
      </c>
      <c r="F55" s="9">
        <v>284</v>
      </c>
      <c r="G55" s="18">
        <v>2.0737495436290616E-3</v>
      </c>
      <c r="H55" s="19">
        <f t="shared" si="0"/>
        <v>82949.981745162469</v>
      </c>
      <c r="I55" s="11">
        <v>2.2351937742894428E-3</v>
      </c>
      <c r="J55" s="11">
        <v>1.348033083796251E-3</v>
      </c>
      <c r="K55" s="21">
        <f t="shared" si="4"/>
        <v>117050.01825483753</v>
      </c>
      <c r="L55" s="21"/>
      <c r="M55" s="21">
        <f t="shared" si="1"/>
        <v>0</v>
      </c>
      <c r="N55" s="21">
        <f t="shared" si="5"/>
        <v>200000</v>
      </c>
    </row>
    <row r="56" spans="1:14" x14ac:dyDescent="0.25">
      <c r="A56" s="3" t="s">
        <v>52</v>
      </c>
      <c r="B56" s="9" t="e">
        <f>VLOOKUP(A56,#REF!,3,FALSE)</f>
        <v>#REF!</v>
      </c>
      <c r="C56" s="10" t="e">
        <f t="shared" si="3"/>
        <v>#REF!</v>
      </c>
      <c r="D56" s="15" t="str">
        <f>IFERROR(VLOOKUP($A56,#REF!,7,FALSE),"")</f>
        <v/>
      </c>
      <c r="E56" s="15" t="str">
        <f>IFERROR(VLOOKUP($A56,#REF!,8,FALSE),"")</f>
        <v/>
      </c>
      <c r="F56" s="9">
        <v>283</v>
      </c>
      <c r="G56" s="18">
        <v>2.0664476086162831E-3</v>
      </c>
      <c r="H56" s="19">
        <f t="shared" si="0"/>
        <v>82657.904344651324</v>
      </c>
      <c r="I56" s="11">
        <v>1.381085668946271E-3</v>
      </c>
      <c r="J56" s="11">
        <v>1.1657779319781498E-3</v>
      </c>
      <c r="K56" s="21">
        <f t="shared" si="4"/>
        <v>117342.09565534868</v>
      </c>
      <c r="L56" s="21"/>
      <c r="M56" s="21">
        <f t="shared" si="1"/>
        <v>0</v>
      </c>
      <c r="N56" s="21">
        <f t="shared" si="5"/>
        <v>200000</v>
      </c>
    </row>
    <row r="57" spans="1:14" x14ac:dyDescent="0.25">
      <c r="A57" s="3" t="s">
        <v>42</v>
      </c>
      <c r="B57" s="9" t="e">
        <f>VLOOKUP(A57,#REF!,3,FALSE)</f>
        <v>#REF!</v>
      </c>
      <c r="C57" s="10" t="e">
        <f t="shared" si="3"/>
        <v>#REF!</v>
      </c>
      <c r="D57" s="15" t="str">
        <f>IFERROR(VLOOKUP($A57,#REF!,7,FALSE),"")</f>
        <v/>
      </c>
      <c r="E57" s="15" t="str">
        <f>IFERROR(VLOOKUP($A57,#REF!,8,FALSE),"")</f>
        <v/>
      </c>
      <c r="F57" s="9">
        <v>227</v>
      </c>
      <c r="G57" s="18">
        <v>1.6575392479006937E-3</v>
      </c>
      <c r="H57" s="19">
        <f t="shared" si="0"/>
        <v>66301.569916027744</v>
      </c>
      <c r="I57" s="11">
        <v>1.5214544104929202E-3</v>
      </c>
      <c r="J57" s="11">
        <v>1.1087234273392307E-3</v>
      </c>
      <c r="K57" s="21">
        <f t="shared" si="4"/>
        <v>133698.43008397226</v>
      </c>
      <c r="L57" s="21"/>
      <c r="M57" s="21">
        <f t="shared" si="1"/>
        <v>0</v>
      </c>
      <c r="N57" s="21">
        <f t="shared" si="5"/>
        <v>200000</v>
      </c>
    </row>
    <row r="58" spans="1:14" x14ac:dyDescent="0.25">
      <c r="A58" s="3" t="s">
        <v>11</v>
      </c>
      <c r="B58" s="9" t="e">
        <f>VLOOKUP(A58,#REF!,3,FALSE)</f>
        <v>#REF!</v>
      </c>
      <c r="C58" s="10" t="e">
        <f t="shared" si="3"/>
        <v>#REF!</v>
      </c>
      <c r="D58" s="15" t="str">
        <f>IFERROR(VLOOKUP($A58,#REF!,7,FALSE),"")</f>
        <v/>
      </c>
      <c r="E58" s="15" t="str">
        <f>IFERROR(VLOOKUP($A58,#REF!,8,FALSE),"")</f>
        <v/>
      </c>
      <c r="F58" s="9">
        <v>194</v>
      </c>
      <c r="G58" s="18">
        <v>1.416575392479007E-3</v>
      </c>
      <c r="H58" s="19">
        <f t="shared" si="0"/>
        <v>56663.015699160278</v>
      </c>
      <c r="I58" s="11">
        <v>1.1538786381377112E-3</v>
      </c>
      <c r="J58" s="11">
        <v>8.3707462811774796E-4</v>
      </c>
      <c r="K58" s="21">
        <f t="shared" si="4"/>
        <v>143336.98430083971</v>
      </c>
      <c r="L58" s="21"/>
      <c r="M58" s="21">
        <f t="shared" si="1"/>
        <v>0</v>
      </c>
      <c r="N58" s="21">
        <f t="shared" si="5"/>
        <v>200000</v>
      </c>
    </row>
    <row r="59" spans="1:14" x14ac:dyDescent="0.25">
      <c r="A59" s="3" t="s">
        <v>57</v>
      </c>
      <c r="B59" s="9" t="e">
        <f>VLOOKUP(A59,#REF!,3,FALSE)</f>
        <v>#REF!</v>
      </c>
      <c r="C59" s="10" t="e">
        <f t="shared" si="3"/>
        <v>#REF!</v>
      </c>
      <c r="D59" s="15" t="str">
        <f>IFERROR(VLOOKUP($A59,#REF!,7,FALSE),"")</f>
        <v/>
      </c>
      <c r="E59" s="15" t="str">
        <f>IFERROR(VLOOKUP($A59,#REF!,8,FALSE),"")</f>
        <v/>
      </c>
      <c r="F59" s="9">
        <v>176</v>
      </c>
      <c r="G59" s="18">
        <v>1.285140562248996E-3</v>
      </c>
      <c r="H59" s="19">
        <f t="shared" si="0"/>
        <v>51405.622489959838</v>
      </c>
      <c r="I59" s="11">
        <v>1.082504701758059E-3</v>
      </c>
      <c r="J59" s="11">
        <v>1.0314672794755322E-3</v>
      </c>
      <c r="K59" s="21">
        <f t="shared" si="4"/>
        <v>148594.37751004015</v>
      </c>
      <c r="L59" s="21"/>
      <c r="M59" s="21">
        <f t="shared" si="1"/>
        <v>0</v>
      </c>
      <c r="N59" s="21">
        <f t="shared" si="5"/>
        <v>200000</v>
      </c>
    </row>
    <row r="60" spans="1:14" x14ac:dyDescent="0.25">
      <c r="A60" s="3" t="s">
        <v>26</v>
      </c>
      <c r="B60" s="9" t="e">
        <f>VLOOKUP(A60,#REF!,3,FALSE)</f>
        <v>#REF!</v>
      </c>
      <c r="C60" s="10" t="e">
        <f t="shared" si="3"/>
        <v>#REF!</v>
      </c>
      <c r="D60" s="15" t="str">
        <f>IFERROR(VLOOKUP($A60,#REF!,7,FALSE),"")</f>
        <v/>
      </c>
      <c r="E60" s="15" t="str">
        <f>IFERROR(VLOOKUP($A60,#REF!,8,FALSE),"")</f>
        <v/>
      </c>
      <c r="F60" s="9">
        <v>136</v>
      </c>
      <c r="G60" s="18">
        <v>9.9306316173786049E-4</v>
      </c>
      <c r="H60" s="19">
        <f t="shared" si="0"/>
        <v>39722.526469514421</v>
      </c>
      <c r="I60" s="11">
        <v>5.9002454073845854E-4</v>
      </c>
      <c r="J60" s="11">
        <v>4.2910602114104715E-4</v>
      </c>
      <c r="K60" s="21">
        <f t="shared" si="4"/>
        <v>160277.47353048559</v>
      </c>
      <c r="L60" s="21"/>
      <c r="M60" s="21">
        <f t="shared" si="1"/>
        <v>0</v>
      </c>
      <c r="N60" s="21">
        <f t="shared" si="5"/>
        <v>200000</v>
      </c>
    </row>
    <row r="61" spans="1:14" x14ac:dyDescent="0.25">
      <c r="A61" s="3" t="s">
        <v>40</v>
      </c>
      <c r="B61" s="9" t="e">
        <f>VLOOKUP(A61,#REF!,3,FALSE)</f>
        <v>#REF!</v>
      </c>
      <c r="C61" s="10" t="e">
        <f t="shared" si="3"/>
        <v>#REF!</v>
      </c>
      <c r="D61" s="15" t="str">
        <f>IFERROR(VLOOKUP($A61,#REF!,7,FALSE),"")</f>
        <v/>
      </c>
      <c r="E61" s="15" t="str">
        <f>IFERROR(VLOOKUP($A61,#REF!,8,FALSE),"")</f>
        <v/>
      </c>
      <c r="F61" s="9">
        <v>124</v>
      </c>
      <c r="G61" s="18">
        <v>9.0543994158451995E-4</v>
      </c>
      <c r="H61" s="19">
        <f t="shared" si="0"/>
        <v>36217.597663380795</v>
      </c>
      <c r="I61" s="11">
        <v>6.7091500196873107E-4</v>
      </c>
      <c r="J61" s="11">
        <v>4.5772960282193287E-4</v>
      </c>
      <c r="K61" s="21">
        <f t="shared" si="4"/>
        <v>163782.40233661921</v>
      </c>
      <c r="L61" s="21"/>
      <c r="M61" s="21">
        <f t="shared" si="1"/>
        <v>0</v>
      </c>
      <c r="N61" s="21">
        <f t="shared" si="5"/>
        <v>200000</v>
      </c>
    </row>
    <row r="62" spans="1:14" x14ac:dyDescent="0.25">
      <c r="A62" s="3" t="s">
        <v>10</v>
      </c>
      <c r="B62" s="9" t="e">
        <f>VLOOKUP(A62,#REF!,3,FALSE)</f>
        <v>#REF!</v>
      </c>
      <c r="C62" s="10" t="e">
        <f t="shared" si="3"/>
        <v>#REF!</v>
      </c>
      <c r="D62" s="15" t="str">
        <f>IFERROR(VLOOKUP($A62,#REF!,7,FALSE),"")</f>
        <v/>
      </c>
      <c r="E62" s="15" t="str">
        <f>IFERROR(VLOOKUP($A62,#REF!,8,FALSE),"")</f>
        <v/>
      </c>
      <c r="F62" s="9">
        <v>117</v>
      </c>
      <c r="G62" s="18">
        <v>8.5432639649507124E-4</v>
      </c>
      <c r="H62" s="19">
        <f t="shared" si="0"/>
        <v>34173.055859802851</v>
      </c>
      <c r="I62" s="11">
        <v>8.0057765305843265E-4</v>
      </c>
      <c r="J62" s="11">
        <v>6.5671854085347489E-4</v>
      </c>
      <c r="K62" s="21">
        <f t="shared" si="4"/>
        <v>165826.94414019716</v>
      </c>
      <c r="L62" s="21"/>
      <c r="M62" s="21">
        <f t="shared" si="1"/>
        <v>0</v>
      </c>
      <c r="N62" s="21">
        <f t="shared" si="5"/>
        <v>200000</v>
      </c>
    </row>
    <row r="63" spans="1:14" x14ac:dyDescent="0.25">
      <c r="A63" s="3" t="s">
        <v>60</v>
      </c>
      <c r="B63" s="9" t="e">
        <f>VLOOKUP(A63,#REF!,3,FALSE)</f>
        <v>#REF!</v>
      </c>
      <c r="C63" s="10" t="e">
        <f t="shared" si="3"/>
        <v>#REF!</v>
      </c>
      <c r="D63" s="15" t="str">
        <f>IFERROR(VLOOKUP($A63,#REF!,7,FALSE),"")</f>
        <v/>
      </c>
      <c r="E63" s="15" t="str">
        <f>IFERROR(VLOOKUP($A63,#REF!,8,FALSE),"")</f>
        <v/>
      </c>
      <c r="F63" s="9">
        <v>115</v>
      </c>
      <c r="G63" s="18">
        <v>8.3972252646951446E-4</v>
      </c>
      <c r="H63" s="19">
        <f t="shared" si="0"/>
        <v>33588.901058780575</v>
      </c>
      <c r="I63" s="11">
        <v>9.730646659759256E-4</v>
      </c>
      <c r="J63" s="11">
        <v>6.711954677420766E-4</v>
      </c>
      <c r="K63" s="21">
        <f t="shared" si="4"/>
        <v>166411.09894121942</v>
      </c>
      <c r="L63" s="21"/>
      <c r="M63" s="21">
        <f t="shared" si="1"/>
        <v>0</v>
      </c>
      <c r="N63" s="21">
        <f t="shared" si="5"/>
        <v>200000</v>
      </c>
    </row>
    <row r="64" spans="1:14" x14ac:dyDescent="0.25">
      <c r="A64" s="3" t="s">
        <v>8</v>
      </c>
      <c r="B64" s="9" t="e">
        <f>VLOOKUP(A64,#REF!,3,FALSE)</f>
        <v>#REF!</v>
      </c>
      <c r="C64" s="10" t="e">
        <f t="shared" si="3"/>
        <v>#REF!</v>
      </c>
      <c r="D64" s="15" t="str">
        <f>IFERROR(VLOOKUP($A64,#REF!,7,FALSE),"")</f>
        <v/>
      </c>
      <c r="E64" s="15" t="str">
        <f>IFERROR(VLOOKUP($A64,#REF!,8,FALSE),"")</f>
        <v/>
      </c>
      <c r="F64" s="9">
        <v>115</v>
      </c>
      <c r="G64" s="18">
        <v>8.3972252646951446E-4</v>
      </c>
      <c r="H64" s="19">
        <f t="shared" si="0"/>
        <v>33588.901058780575</v>
      </c>
      <c r="I64" s="11">
        <v>8.8622637671401539E-4</v>
      </c>
      <c r="J64" s="11">
        <v>6.9070904409952662E-4</v>
      </c>
      <c r="K64" s="21">
        <f t="shared" si="4"/>
        <v>166411.09894121942</v>
      </c>
      <c r="L64" s="21"/>
      <c r="M64" s="21">
        <f t="shared" si="1"/>
        <v>0</v>
      </c>
      <c r="N64" s="21">
        <f t="shared" si="5"/>
        <v>200000</v>
      </c>
    </row>
    <row r="65" spans="1:14" x14ac:dyDescent="0.25">
      <c r="A65" s="3" t="s">
        <v>6</v>
      </c>
      <c r="B65" s="9" t="e">
        <f>VLOOKUP(A65,#REF!,3,FALSE)</f>
        <v>#REF!</v>
      </c>
      <c r="C65" s="10" t="e">
        <f t="shared" si="3"/>
        <v>#REF!</v>
      </c>
      <c r="D65" s="15" t="str">
        <f>IFERROR(VLOOKUP($A65,#REF!,7,FALSE),"")</f>
        <v/>
      </c>
      <c r="E65" s="15" t="str">
        <f>IFERROR(VLOOKUP($A65,#REF!,8,FALSE),"")</f>
        <v/>
      </c>
      <c r="F65" s="9">
        <v>102</v>
      </c>
      <c r="G65" s="18">
        <v>7.4479737130339542E-4</v>
      </c>
      <c r="H65" s="19">
        <f t="shared" si="0"/>
        <v>29791.894852135818</v>
      </c>
      <c r="I65" s="11">
        <v>5.0199668587022075E-4</v>
      </c>
      <c r="J65" s="11">
        <v>3.9951914584590088E-4</v>
      </c>
      <c r="K65" s="21">
        <f t="shared" si="4"/>
        <v>170208.10514786417</v>
      </c>
      <c r="L65" s="21"/>
      <c r="M65" s="21">
        <f t="shared" si="1"/>
        <v>0</v>
      </c>
      <c r="N65" s="21">
        <f t="shared" si="5"/>
        <v>200000</v>
      </c>
    </row>
    <row r="66" spans="1:14" x14ac:dyDescent="0.25">
      <c r="A66" s="3" t="s">
        <v>23</v>
      </c>
      <c r="B66" s="9" t="e">
        <f>VLOOKUP(A66,#REF!,3,FALSE)</f>
        <v>#REF!</v>
      </c>
      <c r="C66" s="10" t="e">
        <f t="shared" si="3"/>
        <v>#REF!</v>
      </c>
      <c r="D66" s="15" t="str">
        <f>IFERROR(VLOOKUP($A66,#REF!,7,FALSE),"")</f>
        <v/>
      </c>
      <c r="E66" s="15" t="str">
        <f>IFERROR(VLOOKUP($A66,#REF!,8,FALSE),"")</f>
        <v/>
      </c>
      <c r="F66" s="9">
        <v>100</v>
      </c>
      <c r="G66" s="18">
        <v>7.3019350127783865E-4</v>
      </c>
      <c r="H66" s="19">
        <f t="shared" si="0"/>
        <v>29207.740051113546</v>
      </c>
      <c r="I66" s="11">
        <v>6.590193459054557E-4</v>
      </c>
      <c r="J66" s="11">
        <v>4.4363799337903526E-4</v>
      </c>
      <c r="K66" s="21">
        <f t="shared" si="4"/>
        <v>170792.25994888647</v>
      </c>
      <c r="L66" s="21"/>
      <c r="M66" s="21">
        <f t="shared" si="1"/>
        <v>0</v>
      </c>
      <c r="N66" s="21">
        <f t="shared" si="5"/>
        <v>200000</v>
      </c>
    </row>
    <row r="67" spans="1:14" x14ac:dyDescent="0.25">
      <c r="A67" s="3" t="s">
        <v>36</v>
      </c>
      <c r="B67" s="9" t="e">
        <f>VLOOKUP(A67,#REF!,3,FALSE)</f>
        <v>#REF!</v>
      </c>
      <c r="C67" s="10" t="e">
        <f t="shared" si="3"/>
        <v>#REF!</v>
      </c>
      <c r="D67" s="15" t="str">
        <f>IFERROR(VLOOKUP($A67,#REF!,7,FALSE),"")</f>
        <v/>
      </c>
      <c r="E67" s="15" t="str">
        <f>IFERROR(VLOOKUP($A67,#REF!,8,FALSE),"")</f>
        <v/>
      </c>
      <c r="F67" s="9">
        <v>98</v>
      </c>
      <c r="G67" s="18">
        <v>7.1558963125228187E-4</v>
      </c>
      <c r="H67" s="19">
        <f t="shared" si="0"/>
        <v>28623.585250091273</v>
      </c>
      <c r="I67" s="11">
        <v>5.6742279421823528E-4</v>
      </c>
      <c r="J67" s="11">
        <v>5.5645343694629538E-4</v>
      </c>
      <c r="K67" s="21">
        <f t="shared" si="4"/>
        <v>171376.41474990873</v>
      </c>
      <c r="L67" s="21"/>
      <c r="M67" s="21">
        <f t="shared" si="1"/>
        <v>0</v>
      </c>
      <c r="N67" s="21">
        <f t="shared" si="5"/>
        <v>200000</v>
      </c>
    </row>
    <row r="68" spans="1:14" x14ac:dyDescent="0.25">
      <c r="A68" s="3" t="s">
        <v>61</v>
      </c>
      <c r="B68" s="9" t="e">
        <f>VLOOKUP(A68,#REF!,3,FALSE)</f>
        <v>#REF!</v>
      </c>
      <c r="C68" s="10" t="e">
        <f t="shared" si="3"/>
        <v>#REF!</v>
      </c>
      <c r="D68" s="15" t="str">
        <f>IFERROR(VLOOKUP($A68,#REF!,7,FALSE),"")</f>
        <v/>
      </c>
      <c r="E68" s="15" t="str">
        <f>IFERROR(VLOOKUP($A68,#REF!,8,FALSE),"")</f>
        <v/>
      </c>
      <c r="F68" s="9">
        <v>72</v>
      </c>
      <c r="G68" s="18">
        <v>5.257393209200438E-4</v>
      </c>
      <c r="H68" s="19">
        <f t="shared" si="0"/>
        <v>21029.572836801752</v>
      </c>
      <c r="I68" s="11">
        <v>2.6170443339205822E-4</v>
      </c>
      <c r="J68" s="11">
        <v>1.6937454006170255E-4</v>
      </c>
      <c r="K68" s="21">
        <f t="shared" si="4"/>
        <v>178970.42716319824</v>
      </c>
      <c r="L68" s="21"/>
      <c r="M68" s="21">
        <f t="shared" si="1"/>
        <v>0</v>
      </c>
      <c r="N68" s="21">
        <f t="shared" si="5"/>
        <v>200000</v>
      </c>
    </row>
    <row r="69" spans="1:14" x14ac:dyDescent="0.25">
      <c r="A69" s="3" t="s">
        <v>39</v>
      </c>
      <c r="B69" s="9" t="e">
        <f>VLOOKUP(A69,#REF!,3,FALSE)</f>
        <v>#REF!</v>
      </c>
      <c r="C69" s="10" t="e">
        <f t="shared" si="3"/>
        <v>#REF!</v>
      </c>
      <c r="D69" s="15" t="str">
        <f>IFERROR(VLOOKUP($A69,#REF!,7,FALSE),"")</f>
        <v/>
      </c>
      <c r="E69" s="15" t="str">
        <f>IFERROR(VLOOKUP($A69,#REF!,8,FALSE),"")</f>
        <v/>
      </c>
      <c r="F69" s="9">
        <v>68</v>
      </c>
      <c r="G69" s="18">
        <v>4.9653158086893025E-4</v>
      </c>
      <c r="H69" s="19">
        <f t="shared" si="0"/>
        <v>19861.263234757211</v>
      </c>
      <c r="I69" s="11">
        <v>1.2966265108970158E-4</v>
      </c>
      <c r="J69" s="11">
        <v>1.2261351575802482E-4</v>
      </c>
      <c r="K69" s="21">
        <f t="shared" si="4"/>
        <v>180138.73676524279</v>
      </c>
      <c r="L69" s="21"/>
      <c r="M69" s="21">
        <f t="shared" si="1"/>
        <v>0</v>
      </c>
      <c r="N69" s="21">
        <f t="shared" si="5"/>
        <v>200000</v>
      </c>
    </row>
    <row r="70" spans="1:14" x14ac:dyDescent="0.25">
      <c r="A70" s="3" t="s">
        <v>16</v>
      </c>
      <c r="B70" s="9" t="e">
        <f>VLOOKUP(A70,#REF!,3,FALSE)</f>
        <v>#REF!</v>
      </c>
      <c r="C70" s="10" t="e">
        <f t="shared" si="3"/>
        <v>#REF!</v>
      </c>
      <c r="D70" s="15" t="str">
        <f>IFERROR(VLOOKUP($A70,#REF!,7,FALSE),"")</f>
        <v/>
      </c>
      <c r="E70" s="15" t="str">
        <f>IFERROR(VLOOKUP($A70,#REF!,8,FALSE),"")</f>
        <v/>
      </c>
      <c r="F70" s="9">
        <v>66</v>
      </c>
      <c r="G70" s="18">
        <v>4.8192771084337347E-4</v>
      </c>
      <c r="H70" s="19">
        <f t="shared" si="0"/>
        <v>19277.108433734938</v>
      </c>
      <c r="I70" s="11">
        <v>2.7954791748697127E-4</v>
      </c>
      <c r="J70" s="11">
        <v>1.6298927953288956E-4</v>
      </c>
      <c r="K70" s="21">
        <f t="shared" si="4"/>
        <v>180722.89156626505</v>
      </c>
      <c r="L70" s="21"/>
      <c r="M70" s="21">
        <f t="shared" si="1"/>
        <v>0</v>
      </c>
      <c r="N70" s="21">
        <f t="shared" si="5"/>
        <v>200000</v>
      </c>
    </row>
    <row r="71" spans="1:14" x14ac:dyDescent="0.25">
      <c r="A71" s="3" t="s">
        <v>3</v>
      </c>
      <c r="B71" s="9" t="e">
        <f>VLOOKUP(A71,#REF!,3,FALSE)</f>
        <v>#REF!</v>
      </c>
      <c r="C71" s="10" t="e">
        <f t="shared" si="3"/>
        <v>#REF!</v>
      </c>
      <c r="D71" s="15" t="str">
        <f>IFERROR(VLOOKUP($A71,#REF!,7,FALSE),"")</f>
        <v/>
      </c>
      <c r="E71" s="15" t="str">
        <f>IFERROR(VLOOKUP($A71,#REF!,8,FALSE),"")</f>
        <v/>
      </c>
      <c r="F71" s="9">
        <v>62</v>
      </c>
      <c r="G71" s="18">
        <v>4.5271997079225998E-4</v>
      </c>
      <c r="H71" s="19">
        <f t="shared" si="0"/>
        <v>18108.798831690397</v>
      </c>
      <c r="I71" s="11">
        <v>2.7478965506166111E-4</v>
      </c>
      <c r="J71" s="11">
        <v>2.2700702086917817E-4</v>
      </c>
      <c r="K71" s="21">
        <f t="shared" si="4"/>
        <v>181891.20116830961</v>
      </c>
      <c r="L71" s="21"/>
      <c r="M71" s="21">
        <f t="shared" si="1"/>
        <v>0</v>
      </c>
      <c r="N71" s="21">
        <f t="shared" si="5"/>
        <v>200000</v>
      </c>
    </row>
    <row r="72" spans="1:14" x14ac:dyDescent="0.25">
      <c r="A72" s="3" t="s">
        <v>47</v>
      </c>
      <c r="B72" s="9" t="e">
        <f>VLOOKUP(A72,#REF!,3,FALSE)</f>
        <v>#REF!</v>
      </c>
      <c r="C72" s="10" t="e">
        <f t="shared" si="3"/>
        <v>#REF!</v>
      </c>
      <c r="D72" s="15" t="str">
        <f>IFERROR(VLOOKUP($A72,#REF!,7,FALSE),"")</f>
        <v/>
      </c>
      <c r="E72" s="15" t="str">
        <f>IFERROR(VLOOKUP($A72,#REF!,8,FALSE),"")</f>
        <v/>
      </c>
      <c r="F72" s="9">
        <v>62</v>
      </c>
      <c r="G72" s="18">
        <v>4.5271997079225998E-4</v>
      </c>
      <c r="H72" s="19">
        <f t="shared" si="0"/>
        <v>18108.798831690397</v>
      </c>
      <c r="I72" s="11">
        <v>2.3077572762754224E-4</v>
      </c>
      <c r="J72" s="11">
        <v>2.0259440841634586E-4</v>
      </c>
      <c r="K72" s="21">
        <f t="shared" si="4"/>
        <v>181891.20116830961</v>
      </c>
      <c r="L72" s="21"/>
      <c r="M72" s="21">
        <f t="shared" si="1"/>
        <v>0</v>
      </c>
      <c r="N72" s="21">
        <f t="shared" si="5"/>
        <v>200000</v>
      </c>
    </row>
    <row r="73" spans="1:14" x14ac:dyDescent="0.25">
      <c r="A73" s="3" t="s">
        <v>63</v>
      </c>
      <c r="B73" s="9" t="e">
        <f>VLOOKUP(A73,#REF!,3,FALSE)</f>
        <v>#REF!</v>
      </c>
      <c r="C73" s="10" t="e">
        <f t="shared" si="3"/>
        <v>#REF!</v>
      </c>
      <c r="D73" s="15" t="str">
        <f>IFERROR(VLOOKUP($A73,#REF!,7,FALSE),"")</f>
        <v/>
      </c>
      <c r="E73" s="15" t="str">
        <f>IFERROR(VLOOKUP($A73,#REF!,8,FALSE),"")</f>
        <v/>
      </c>
      <c r="F73" s="9">
        <v>61</v>
      </c>
      <c r="G73" s="18">
        <v>4.4541803577948159E-4</v>
      </c>
      <c r="H73" s="19">
        <f t="shared" si="0"/>
        <v>17816.721431179263</v>
      </c>
      <c r="I73" s="11">
        <v>3.1047662325148727E-4</v>
      </c>
      <c r="J73" s="11">
        <v>1.7768638781903666E-4</v>
      </c>
      <c r="K73" s="21">
        <f t="shared" si="4"/>
        <v>182183.27856882074</v>
      </c>
      <c r="L73" s="21"/>
      <c r="M73" s="21">
        <f t="shared" si="1"/>
        <v>0</v>
      </c>
      <c r="N73" s="21">
        <f t="shared" si="5"/>
        <v>200000</v>
      </c>
    </row>
    <row r="74" spans="1:14" x14ac:dyDescent="0.25">
      <c r="A74" s="3" t="s">
        <v>21</v>
      </c>
      <c r="B74" s="9" t="e">
        <f>VLOOKUP(A74,#REF!,3,FALSE)</f>
        <v>#REF!</v>
      </c>
      <c r="C74" s="10" t="e">
        <f t="shared" si="3"/>
        <v>#REF!</v>
      </c>
      <c r="D74" s="15" t="str">
        <f>IFERROR(VLOOKUP($A74,#REF!,7,FALSE),"")</f>
        <v/>
      </c>
      <c r="E74" s="15" t="str">
        <f>IFERROR(VLOOKUP($A74,#REF!,8,FALSE),"")</f>
        <v/>
      </c>
      <c r="F74" s="9">
        <v>54</v>
      </c>
      <c r="G74" s="18">
        <v>3.9430449069003287E-4</v>
      </c>
      <c r="H74" s="19">
        <f t="shared" si="0"/>
        <v>15772.179627601316</v>
      </c>
      <c r="I74" s="11">
        <v>3.3307836977171048E-4</v>
      </c>
      <c r="J74" s="11">
        <v>3.2135474971732835E-4</v>
      </c>
      <c r="K74" s="21">
        <f t="shared" si="4"/>
        <v>184227.82037239868</v>
      </c>
      <c r="L74" s="21"/>
      <c r="M74" s="21">
        <f t="shared" si="1"/>
        <v>0</v>
      </c>
      <c r="N74" s="21">
        <f t="shared" si="5"/>
        <v>200000</v>
      </c>
    </row>
    <row r="75" spans="1:14" x14ac:dyDescent="0.25">
      <c r="A75" s="3" t="s">
        <v>29</v>
      </c>
      <c r="B75" s="9" t="e">
        <f>VLOOKUP(A75,#REF!,3,FALSE)</f>
        <v>#REF!</v>
      </c>
      <c r="C75" s="10" t="e">
        <f t="shared" si="3"/>
        <v>#REF!</v>
      </c>
      <c r="D75" s="15" t="str">
        <f>IFERROR(VLOOKUP($A75,#REF!,7,FALSE),"")</f>
        <v/>
      </c>
      <c r="E75" s="15" t="str">
        <f>IFERROR(VLOOKUP($A75,#REF!,8,FALSE),"")</f>
        <v/>
      </c>
      <c r="F75" s="9">
        <v>53</v>
      </c>
      <c r="G75" s="18">
        <v>3.8700255567725449E-4</v>
      </c>
      <c r="H75" s="19">
        <f t="shared" si="0"/>
        <v>15480.102227090179</v>
      </c>
      <c r="I75" s="11">
        <v>2.8787487673126406E-4</v>
      </c>
      <c r="J75" s="11">
        <v>2.5890580083854986E-4</v>
      </c>
      <c r="K75" s="21">
        <f t="shared" si="4"/>
        <v>184519.89777290981</v>
      </c>
      <c r="L75" s="21"/>
      <c r="M75" s="21">
        <f t="shared" si="1"/>
        <v>0</v>
      </c>
      <c r="N75" s="21">
        <f t="shared" si="5"/>
        <v>200000</v>
      </c>
    </row>
    <row r="76" spans="1:14" x14ac:dyDescent="0.25">
      <c r="A76" s="3" t="s">
        <v>17</v>
      </c>
      <c r="B76" s="9" t="e">
        <f>VLOOKUP(A76,#REF!,3,FALSE)</f>
        <v>#REF!</v>
      </c>
      <c r="C76" s="10" t="e">
        <f t="shared" si="3"/>
        <v>#REF!</v>
      </c>
      <c r="D76" s="15" t="str">
        <f>IFERROR(VLOOKUP($A76,#REF!,7,FALSE),"")</f>
        <v/>
      </c>
      <c r="E76" s="15" t="str">
        <f>IFERROR(VLOOKUP($A76,#REF!,8,FALSE),"")</f>
        <v/>
      </c>
      <c r="F76" s="9">
        <v>47</v>
      </c>
      <c r="G76" s="18">
        <v>3.4319094560058416E-4</v>
      </c>
      <c r="H76" s="19">
        <f t="shared" si="0"/>
        <v>13727.637824023366</v>
      </c>
      <c r="I76" s="11">
        <v>2.831166143059539E-4</v>
      </c>
      <c r="J76" s="11">
        <v>1.7991572446918256E-4</v>
      </c>
      <c r="K76" s="21">
        <f t="shared" si="4"/>
        <v>186272.36217597662</v>
      </c>
      <c r="L76" s="21"/>
      <c r="M76" s="21">
        <f t="shared" si="1"/>
        <v>0</v>
      </c>
      <c r="N76" s="21">
        <f t="shared" si="5"/>
        <v>200000</v>
      </c>
    </row>
    <row r="77" spans="1:14" x14ac:dyDescent="0.25">
      <c r="A77" s="3" t="s">
        <v>24</v>
      </c>
      <c r="B77" s="9" t="e">
        <f>VLOOKUP(A77,#REF!,3,FALSE)</f>
        <v>#REF!</v>
      </c>
      <c r="C77" s="10" t="e">
        <f t="shared" si="3"/>
        <v>#REF!</v>
      </c>
      <c r="D77" s="15" t="str">
        <f>IFERROR(VLOOKUP($A77,#REF!,7,FALSE),"")</f>
        <v/>
      </c>
      <c r="E77" s="15" t="str">
        <f>IFERROR(VLOOKUP($A77,#REF!,8,FALSE),"")</f>
        <v/>
      </c>
      <c r="F77" s="9">
        <v>40</v>
      </c>
      <c r="G77" s="18">
        <v>2.9207740051113545E-4</v>
      </c>
      <c r="H77" s="19">
        <f t="shared" si="0"/>
        <v>11683.096020445419</v>
      </c>
      <c r="I77" s="11">
        <v>3.3902619780334817E-4</v>
      </c>
      <c r="J77" s="11">
        <v>2.260437272549176E-4</v>
      </c>
      <c r="K77" s="21">
        <f t="shared" si="4"/>
        <v>188316.90397955457</v>
      </c>
      <c r="L77" s="21"/>
      <c r="M77" s="21">
        <f t="shared" si="1"/>
        <v>0</v>
      </c>
      <c r="N77" s="21">
        <f t="shared" si="5"/>
        <v>200000</v>
      </c>
    </row>
    <row r="78" spans="1:14" x14ac:dyDescent="0.25">
      <c r="A78" s="3" t="s">
        <v>25</v>
      </c>
      <c r="B78" s="9" t="e">
        <f>VLOOKUP(A78,#REF!,3,FALSE)</f>
        <v>#REF!</v>
      </c>
      <c r="C78" s="10" t="e">
        <f t="shared" si="3"/>
        <v>#REF!</v>
      </c>
      <c r="D78" s="15" t="str">
        <f>IFERROR(VLOOKUP($A78,#REF!,7,FALSE),"")</f>
        <v/>
      </c>
      <c r="E78" s="15" t="str">
        <f>IFERROR(VLOOKUP($A78,#REF!,8,FALSE),"")</f>
        <v/>
      </c>
      <c r="F78" s="9">
        <v>29</v>
      </c>
      <c r="G78" s="18">
        <v>2.1175611537057321E-4</v>
      </c>
      <c r="H78" s="19">
        <f t="shared" si="0"/>
        <v>8470.2446148229283</v>
      </c>
      <c r="I78" s="11">
        <v>2.7241052384900606E-4</v>
      </c>
      <c r="J78" s="11">
        <v>1.8839270827467563E-4</v>
      </c>
      <c r="K78" s="21">
        <f t="shared" si="4"/>
        <v>191529.75538517706</v>
      </c>
      <c r="L78" s="21"/>
      <c r="M78" s="21">
        <f t="shared" si="1"/>
        <v>0</v>
      </c>
      <c r="N78" s="21">
        <f t="shared" si="5"/>
        <v>200000</v>
      </c>
    </row>
    <row r="79" spans="1:14" x14ac:dyDescent="0.25">
      <c r="A79" s="3" t="s">
        <v>41</v>
      </c>
      <c r="B79" s="9" t="e">
        <f>VLOOKUP(A79,#REF!,3,FALSE)</f>
        <v>#REF!</v>
      </c>
      <c r="C79" s="10" t="e">
        <f t="shared" si="3"/>
        <v>#REF!</v>
      </c>
      <c r="D79" s="15" t="str">
        <f>IFERROR(VLOOKUP($A79,#REF!,7,FALSE),"")</f>
        <v/>
      </c>
      <c r="E79" s="15" t="str">
        <f>IFERROR(VLOOKUP($A79,#REF!,8,FALSE),"")</f>
        <v/>
      </c>
      <c r="F79" s="9">
        <v>29</v>
      </c>
      <c r="G79" s="18">
        <v>2.1175611537057321E-4</v>
      </c>
      <c r="H79" s="19">
        <f t="shared" si="0"/>
        <v>8470.2446148229283</v>
      </c>
      <c r="I79" s="11">
        <v>2.5575660536042053E-4</v>
      </c>
      <c r="J79" s="11">
        <v>1.6315441558104851E-4</v>
      </c>
      <c r="K79" s="21">
        <f t="shared" si="4"/>
        <v>191529.75538517706</v>
      </c>
      <c r="L79" s="21"/>
      <c r="M79" s="21">
        <f>IF(OR(D79="x",E79="x"),($H$12-$H$13-$K$80)/25,0)</f>
        <v>0</v>
      </c>
      <c r="N79" s="21">
        <f t="shared" si="5"/>
        <v>200000</v>
      </c>
    </row>
    <row r="80" spans="1:14" x14ac:dyDescent="0.25">
      <c r="A80" s="4" t="s">
        <v>67</v>
      </c>
      <c r="B80" s="9" t="e">
        <f>SUM(B16:B79)</f>
        <v>#REF!</v>
      </c>
      <c r="C80" s="12" t="e">
        <f t="shared" si="3"/>
        <v>#REF!</v>
      </c>
      <c r="D80" s="4"/>
      <c r="E80" s="4"/>
      <c r="F80" s="14">
        <v>136950</v>
      </c>
      <c r="G80" s="20">
        <v>1</v>
      </c>
      <c r="H80" s="23">
        <f t="shared" ref="H80" si="6">G80*$H$13</f>
        <v>40000000</v>
      </c>
      <c r="I80" s="12">
        <v>1</v>
      </c>
      <c r="J80" s="12">
        <v>1</v>
      </c>
      <c r="K80" s="23">
        <f>SUM(K14:K79)</f>
        <v>5246878.4227820374</v>
      </c>
      <c r="L80" s="23"/>
      <c r="M80" s="23">
        <f>SUM(M15:M79)</f>
        <v>0</v>
      </c>
      <c r="N80" s="23">
        <f>SUM(N14:N79)</f>
        <v>45246878.422782034</v>
      </c>
    </row>
    <row r="81" spans="13:13" x14ac:dyDescent="0.25">
      <c r="M81" t="s">
        <v>106</v>
      </c>
    </row>
  </sheetData>
  <hyperlinks>
    <hyperlink ref="Z2" r:id="rId1" xr:uid="{00000000-0004-0000-07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Final 2nd Tranche</vt:lpstr>
      <vt:lpstr>Benchmarks</vt:lpstr>
      <vt:lpstr>Targets</vt:lpstr>
      <vt:lpstr>W-V-M-R Targets</vt:lpstr>
      <vt:lpstr>Period</vt:lpstr>
      <vt:lpstr>Option 2a (delete)</vt:lpstr>
      <vt:lpstr>Benchmarks!Print_Area</vt:lpstr>
      <vt:lpstr>'Final 2nd Tranche'!Print_Area</vt:lpstr>
      <vt:lpstr>'W-V-M-R Targets'!Print_Area</vt:lpstr>
      <vt:lpstr>Benchmarks!Print_Titles</vt:lpstr>
      <vt:lpstr>'Final 2nd Tranche'!Print_Titles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of U.S. Businesses (SUSB)</dc:title>
  <dc:creator>L Bowan</dc:creator>
  <cp:keywords>County, Enterprise Employment  Size, 2008</cp:keywords>
  <cp:lastModifiedBy>Gould, Sean</cp:lastModifiedBy>
  <cp:lastPrinted>2023-07-17T22:35:06Z</cp:lastPrinted>
  <dcterms:created xsi:type="dcterms:W3CDTF">2010-07-23T19:10:30Z</dcterms:created>
  <dcterms:modified xsi:type="dcterms:W3CDTF">2023-08-07T23:32:57Z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