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JIM EKE\CLIMBER\Gantt Chart\"/>
    </mc:Choice>
  </mc:AlternateContent>
  <bookViews>
    <workbookView xWindow="0" yWindow="0" windowWidth="28800" windowHeight="12330" activeTab="1"/>
  </bookViews>
  <sheets>
    <sheet name="Option 5" sheetId="1" r:id="rId1"/>
    <sheet name="New Options $25M" sheetId="4" r:id="rId2"/>
    <sheet name="New Options $30M" sheetId="5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D5" i="5"/>
  <c r="C4" i="5"/>
  <c r="D4" i="5"/>
  <c r="E2" i="5"/>
  <c r="F2" i="5"/>
  <c r="C2" i="5"/>
  <c r="D2" i="5"/>
  <c r="C4" i="4"/>
  <c r="D4" i="4"/>
  <c r="D2" i="4"/>
  <c r="C2" i="4" s="1"/>
  <c r="F2" i="4" s="1"/>
  <c r="E2" i="4" s="1"/>
  <c r="G69" i="1"/>
  <c r="F69" i="1"/>
  <c r="O69" i="1" s="1"/>
  <c r="E69" i="1"/>
  <c r="D69" i="1"/>
  <c r="P69" i="1" s="1"/>
  <c r="B69" i="1"/>
  <c r="P68" i="1"/>
  <c r="G68" i="1"/>
  <c r="F68" i="1"/>
  <c r="O68" i="1" s="1"/>
  <c r="E68" i="1"/>
  <c r="D68" i="1"/>
  <c r="B68" i="1"/>
  <c r="O67" i="1"/>
  <c r="G67" i="1"/>
  <c r="F67" i="1"/>
  <c r="E67" i="1"/>
  <c r="D67" i="1"/>
  <c r="P67" i="1" s="1"/>
  <c r="B67" i="1"/>
  <c r="P66" i="1"/>
  <c r="G66" i="1"/>
  <c r="F66" i="1"/>
  <c r="O66" i="1" s="1"/>
  <c r="E66" i="1"/>
  <c r="D66" i="1"/>
  <c r="B66" i="1"/>
  <c r="O65" i="1"/>
  <c r="G65" i="1"/>
  <c r="F65" i="1"/>
  <c r="E65" i="1"/>
  <c r="D65" i="1"/>
  <c r="P65" i="1" s="1"/>
  <c r="B65" i="1"/>
  <c r="P64" i="1"/>
  <c r="G64" i="1"/>
  <c r="F64" i="1"/>
  <c r="O64" i="1" s="1"/>
  <c r="E64" i="1"/>
  <c r="D64" i="1"/>
  <c r="B64" i="1"/>
  <c r="O63" i="1"/>
  <c r="G63" i="1"/>
  <c r="F63" i="1"/>
  <c r="E63" i="1"/>
  <c r="D63" i="1"/>
  <c r="P63" i="1" s="1"/>
  <c r="B63" i="1"/>
  <c r="P62" i="1"/>
  <c r="G62" i="1"/>
  <c r="F62" i="1"/>
  <c r="O62" i="1" s="1"/>
  <c r="E62" i="1"/>
  <c r="D62" i="1"/>
  <c r="B62" i="1"/>
  <c r="O61" i="1"/>
  <c r="G61" i="1"/>
  <c r="F61" i="1"/>
  <c r="E61" i="1"/>
  <c r="D61" i="1"/>
  <c r="P61" i="1" s="1"/>
  <c r="B61" i="1"/>
  <c r="P60" i="1"/>
  <c r="G60" i="1"/>
  <c r="F60" i="1"/>
  <c r="O60" i="1" s="1"/>
  <c r="E60" i="1"/>
  <c r="D60" i="1"/>
  <c r="B60" i="1"/>
  <c r="O59" i="1"/>
  <c r="G59" i="1"/>
  <c r="F59" i="1"/>
  <c r="E59" i="1"/>
  <c r="D59" i="1"/>
  <c r="P59" i="1" s="1"/>
  <c r="B59" i="1"/>
  <c r="P58" i="1"/>
  <c r="J58" i="1"/>
  <c r="G58" i="1"/>
  <c r="F58" i="1"/>
  <c r="O58" i="1" s="1"/>
  <c r="E58" i="1"/>
  <c r="D58" i="1"/>
  <c r="B58" i="1"/>
  <c r="O57" i="1"/>
  <c r="G57" i="1"/>
  <c r="F57" i="1"/>
  <c r="E57" i="1"/>
  <c r="D57" i="1"/>
  <c r="P57" i="1" s="1"/>
  <c r="B57" i="1"/>
  <c r="P56" i="1"/>
  <c r="J56" i="1"/>
  <c r="G56" i="1"/>
  <c r="F56" i="1"/>
  <c r="O56" i="1" s="1"/>
  <c r="E56" i="1"/>
  <c r="D56" i="1"/>
  <c r="B56" i="1"/>
  <c r="O55" i="1"/>
  <c r="G55" i="1"/>
  <c r="F55" i="1"/>
  <c r="E55" i="1"/>
  <c r="D55" i="1"/>
  <c r="P55" i="1" s="1"/>
  <c r="B55" i="1"/>
  <c r="P54" i="1"/>
  <c r="J54" i="1"/>
  <c r="M54" i="1" s="1"/>
  <c r="Q54" i="1" s="1"/>
  <c r="G54" i="1"/>
  <c r="F54" i="1"/>
  <c r="O54" i="1" s="1"/>
  <c r="E54" i="1"/>
  <c r="D54" i="1"/>
  <c r="B54" i="1"/>
  <c r="O53" i="1"/>
  <c r="G53" i="1"/>
  <c r="F53" i="1"/>
  <c r="E53" i="1"/>
  <c r="D53" i="1"/>
  <c r="P53" i="1" s="1"/>
  <c r="B53" i="1"/>
  <c r="P52" i="1"/>
  <c r="J52" i="1"/>
  <c r="G52" i="1"/>
  <c r="F52" i="1"/>
  <c r="O52" i="1" s="1"/>
  <c r="E52" i="1"/>
  <c r="D52" i="1"/>
  <c r="B52" i="1"/>
  <c r="O51" i="1"/>
  <c r="G51" i="1"/>
  <c r="F51" i="1"/>
  <c r="E51" i="1"/>
  <c r="D51" i="1"/>
  <c r="P51" i="1" s="1"/>
  <c r="B51" i="1"/>
  <c r="P50" i="1"/>
  <c r="J50" i="1"/>
  <c r="M50" i="1" s="1"/>
  <c r="Q50" i="1" s="1"/>
  <c r="G50" i="1"/>
  <c r="F50" i="1"/>
  <c r="O50" i="1" s="1"/>
  <c r="E50" i="1"/>
  <c r="D50" i="1"/>
  <c r="B50" i="1"/>
  <c r="O49" i="1"/>
  <c r="G49" i="1"/>
  <c r="F49" i="1"/>
  <c r="E49" i="1"/>
  <c r="D49" i="1"/>
  <c r="P49" i="1" s="1"/>
  <c r="B49" i="1"/>
  <c r="P48" i="1"/>
  <c r="J48" i="1"/>
  <c r="M48" i="1" s="1"/>
  <c r="Q48" i="1" s="1"/>
  <c r="G48" i="1"/>
  <c r="F48" i="1"/>
  <c r="O48" i="1" s="1"/>
  <c r="E48" i="1"/>
  <c r="D48" i="1"/>
  <c r="B48" i="1"/>
  <c r="O47" i="1"/>
  <c r="G47" i="1"/>
  <c r="F47" i="1"/>
  <c r="E47" i="1"/>
  <c r="D47" i="1"/>
  <c r="P47" i="1" s="1"/>
  <c r="B47" i="1"/>
  <c r="P46" i="1"/>
  <c r="J46" i="1"/>
  <c r="G46" i="1"/>
  <c r="F46" i="1"/>
  <c r="O46" i="1" s="1"/>
  <c r="E46" i="1"/>
  <c r="D46" i="1"/>
  <c r="B46" i="1"/>
  <c r="O45" i="1"/>
  <c r="G45" i="1"/>
  <c r="F45" i="1"/>
  <c r="E45" i="1"/>
  <c r="D45" i="1"/>
  <c r="P45" i="1" s="1"/>
  <c r="B45" i="1"/>
  <c r="P44" i="1"/>
  <c r="J44" i="1"/>
  <c r="G44" i="1"/>
  <c r="F44" i="1"/>
  <c r="O44" i="1" s="1"/>
  <c r="E44" i="1"/>
  <c r="D44" i="1"/>
  <c r="B44" i="1"/>
  <c r="O43" i="1"/>
  <c r="G43" i="1"/>
  <c r="F43" i="1"/>
  <c r="E43" i="1"/>
  <c r="D43" i="1"/>
  <c r="P43" i="1" s="1"/>
  <c r="B43" i="1"/>
  <c r="P42" i="1"/>
  <c r="J42" i="1"/>
  <c r="G42" i="1"/>
  <c r="F42" i="1"/>
  <c r="O42" i="1" s="1"/>
  <c r="E42" i="1"/>
  <c r="D42" i="1"/>
  <c r="B42" i="1"/>
  <c r="O41" i="1"/>
  <c r="G41" i="1"/>
  <c r="F41" i="1"/>
  <c r="E41" i="1"/>
  <c r="D41" i="1"/>
  <c r="P41" i="1" s="1"/>
  <c r="B41" i="1"/>
  <c r="P40" i="1"/>
  <c r="J40" i="1"/>
  <c r="G40" i="1"/>
  <c r="F40" i="1"/>
  <c r="O40" i="1" s="1"/>
  <c r="E40" i="1"/>
  <c r="D40" i="1"/>
  <c r="B40" i="1"/>
  <c r="O39" i="1"/>
  <c r="G39" i="1"/>
  <c r="F39" i="1"/>
  <c r="E39" i="1"/>
  <c r="D39" i="1"/>
  <c r="P39" i="1" s="1"/>
  <c r="B39" i="1"/>
  <c r="P38" i="1"/>
  <c r="J38" i="1"/>
  <c r="M38" i="1" s="1"/>
  <c r="Q38" i="1" s="1"/>
  <c r="G38" i="1"/>
  <c r="F38" i="1"/>
  <c r="O38" i="1" s="1"/>
  <c r="E38" i="1"/>
  <c r="D38" i="1"/>
  <c r="B38" i="1"/>
  <c r="O37" i="1"/>
  <c r="G37" i="1"/>
  <c r="F37" i="1"/>
  <c r="E37" i="1"/>
  <c r="D37" i="1"/>
  <c r="P37" i="1" s="1"/>
  <c r="B37" i="1"/>
  <c r="P36" i="1"/>
  <c r="J36" i="1"/>
  <c r="G36" i="1"/>
  <c r="F36" i="1"/>
  <c r="O36" i="1" s="1"/>
  <c r="E36" i="1"/>
  <c r="D36" i="1"/>
  <c r="B36" i="1"/>
  <c r="O35" i="1"/>
  <c r="G35" i="1"/>
  <c r="F35" i="1"/>
  <c r="E35" i="1"/>
  <c r="D35" i="1"/>
  <c r="P35" i="1" s="1"/>
  <c r="B35" i="1"/>
  <c r="P34" i="1"/>
  <c r="J34" i="1"/>
  <c r="M34" i="1" s="1"/>
  <c r="Q34" i="1" s="1"/>
  <c r="G34" i="1"/>
  <c r="F34" i="1"/>
  <c r="O34" i="1" s="1"/>
  <c r="E34" i="1"/>
  <c r="D34" i="1"/>
  <c r="B34" i="1"/>
  <c r="O33" i="1"/>
  <c r="G33" i="1"/>
  <c r="F33" i="1"/>
  <c r="E33" i="1"/>
  <c r="D33" i="1"/>
  <c r="P33" i="1" s="1"/>
  <c r="B33" i="1"/>
  <c r="P32" i="1"/>
  <c r="J32" i="1"/>
  <c r="M32" i="1" s="1"/>
  <c r="Q32" i="1" s="1"/>
  <c r="G32" i="1"/>
  <c r="F32" i="1"/>
  <c r="O32" i="1" s="1"/>
  <c r="E32" i="1"/>
  <c r="D32" i="1"/>
  <c r="B32" i="1"/>
  <c r="O31" i="1"/>
  <c r="G31" i="1"/>
  <c r="F31" i="1"/>
  <c r="E31" i="1"/>
  <c r="D31" i="1"/>
  <c r="P31" i="1" s="1"/>
  <c r="B31" i="1"/>
  <c r="P30" i="1"/>
  <c r="J30" i="1"/>
  <c r="G30" i="1"/>
  <c r="F30" i="1"/>
  <c r="O30" i="1" s="1"/>
  <c r="E30" i="1"/>
  <c r="D30" i="1"/>
  <c r="B30" i="1"/>
  <c r="O29" i="1"/>
  <c r="G29" i="1"/>
  <c r="F29" i="1"/>
  <c r="E29" i="1"/>
  <c r="D29" i="1"/>
  <c r="P29" i="1" s="1"/>
  <c r="B29" i="1"/>
  <c r="J28" i="1"/>
  <c r="M28" i="1" s="1"/>
  <c r="Q28" i="1" s="1"/>
  <c r="G28" i="1"/>
  <c r="F28" i="1"/>
  <c r="O28" i="1" s="1"/>
  <c r="E28" i="1"/>
  <c r="D28" i="1"/>
  <c r="P28" i="1" s="1"/>
  <c r="B28" i="1"/>
  <c r="O27" i="1"/>
  <c r="G27" i="1"/>
  <c r="F27" i="1"/>
  <c r="E27" i="1"/>
  <c r="D27" i="1"/>
  <c r="P27" i="1" s="1"/>
  <c r="B27" i="1"/>
  <c r="J26" i="1"/>
  <c r="G26" i="1"/>
  <c r="F26" i="1"/>
  <c r="O26" i="1" s="1"/>
  <c r="E26" i="1"/>
  <c r="D26" i="1"/>
  <c r="P26" i="1" s="1"/>
  <c r="B26" i="1"/>
  <c r="O25" i="1"/>
  <c r="G25" i="1"/>
  <c r="F25" i="1"/>
  <c r="E25" i="1"/>
  <c r="D25" i="1"/>
  <c r="P25" i="1" s="1"/>
  <c r="B25" i="1"/>
  <c r="J24" i="1"/>
  <c r="M24" i="1" s="1"/>
  <c r="Q24" i="1" s="1"/>
  <c r="G24" i="1"/>
  <c r="F24" i="1"/>
  <c r="O24" i="1" s="1"/>
  <c r="E24" i="1"/>
  <c r="D24" i="1"/>
  <c r="P24" i="1" s="1"/>
  <c r="B24" i="1"/>
  <c r="O23" i="1"/>
  <c r="G23" i="1"/>
  <c r="F23" i="1"/>
  <c r="E23" i="1"/>
  <c r="D23" i="1"/>
  <c r="P23" i="1" s="1"/>
  <c r="B23" i="1"/>
  <c r="J22" i="1"/>
  <c r="G22" i="1"/>
  <c r="F22" i="1"/>
  <c r="O22" i="1" s="1"/>
  <c r="E22" i="1"/>
  <c r="D22" i="1"/>
  <c r="P22" i="1" s="1"/>
  <c r="B22" i="1"/>
  <c r="O21" i="1"/>
  <c r="G21" i="1"/>
  <c r="F21" i="1"/>
  <c r="E21" i="1"/>
  <c r="D21" i="1"/>
  <c r="P21" i="1" s="1"/>
  <c r="B21" i="1"/>
  <c r="J20" i="1"/>
  <c r="M20" i="1" s="1"/>
  <c r="Q20" i="1" s="1"/>
  <c r="G20" i="1"/>
  <c r="F20" i="1"/>
  <c r="O20" i="1" s="1"/>
  <c r="E20" i="1"/>
  <c r="D20" i="1"/>
  <c r="P20" i="1" s="1"/>
  <c r="B20" i="1"/>
  <c r="O19" i="1"/>
  <c r="G19" i="1"/>
  <c r="F19" i="1"/>
  <c r="E19" i="1"/>
  <c r="D19" i="1"/>
  <c r="P19" i="1" s="1"/>
  <c r="B19" i="1"/>
  <c r="J18" i="1"/>
  <c r="G18" i="1"/>
  <c r="F18" i="1"/>
  <c r="O18" i="1" s="1"/>
  <c r="E18" i="1"/>
  <c r="D18" i="1"/>
  <c r="P18" i="1" s="1"/>
  <c r="B18" i="1"/>
  <c r="O17" i="1"/>
  <c r="G17" i="1"/>
  <c r="F17" i="1"/>
  <c r="E17" i="1"/>
  <c r="D17" i="1"/>
  <c r="P17" i="1" s="1"/>
  <c r="B17" i="1"/>
  <c r="J16" i="1"/>
  <c r="M16" i="1" s="1"/>
  <c r="Q16" i="1" s="1"/>
  <c r="G16" i="1"/>
  <c r="F16" i="1"/>
  <c r="O16" i="1" s="1"/>
  <c r="E16" i="1"/>
  <c r="D16" i="1"/>
  <c r="P16" i="1" s="1"/>
  <c r="B16" i="1"/>
  <c r="O15" i="1"/>
  <c r="G15" i="1"/>
  <c r="F15" i="1"/>
  <c r="E15" i="1"/>
  <c r="D15" i="1"/>
  <c r="P15" i="1" s="1"/>
  <c r="B15" i="1"/>
  <c r="J14" i="1"/>
  <c r="G14" i="1"/>
  <c r="F14" i="1"/>
  <c r="O14" i="1" s="1"/>
  <c r="E14" i="1"/>
  <c r="D14" i="1"/>
  <c r="P14" i="1" s="1"/>
  <c r="B14" i="1"/>
  <c r="O13" i="1"/>
  <c r="G13" i="1"/>
  <c r="F13" i="1"/>
  <c r="E13" i="1"/>
  <c r="D13" i="1"/>
  <c r="P13" i="1" s="1"/>
  <c r="B13" i="1"/>
  <c r="J12" i="1"/>
  <c r="M12" i="1" s="1"/>
  <c r="Q12" i="1" s="1"/>
  <c r="G12" i="1"/>
  <c r="F12" i="1"/>
  <c r="O12" i="1" s="1"/>
  <c r="E12" i="1"/>
  <c r="D12" i="1"/>
  <c r="P12" i="1" s="1"/>
  <c r="B12" i="1"/>
  <c r="O11" i="1"/>
  <c r="G11" i="1"/>
  <c r="F11" i="1"/>
  <c r="E11" i="1"/>
  <c r="D11" i="1"/>
  <c r="P11" i="1" s="1"/>
  <c r="B11" i="1"/>
  <c r="J10" i="1"/>
  <c r="G10" i="1"/>
  <c r="F10" i="1"/>
  <c r="O10" i="1" s="1"/>
  <c r="E10" i="1"/>
  <c r="D10" i="1"/>
  <c r="P10" i="1" s="1"/>
  <c r="B10" i="1"/>
  <c r="O9" i="1"/>
  <c r="G9" i="1"/>
  <c r="F9" i="1"/>
  <c r="E9" i="1"/>
  <c r="D9" i="1"/>
  <c r="P9" i="1" s="1"/>
  <c r="B9" i="1"/>
  <c r="J8" i="1"/>
  <c r="G8" i="1"/>
  <c r="F8" i="1"/>
  <c r="O8" i="1" s="1"/>
  <c r="E8" i="1"/>
  <c r="D8" i="1"/>
  <c r="P8" i="1" s="1"/>
  <c r="B8" i="1"/>
  <c r="O7" i="1"/>
  <c r="G7" i="1"/>
  <c r="F7" i="1"/>
  <c r="E7" i="1"/>
  <c r="D7" i="1"/>
  <c r="P7" i="1" s="1"/>
  <c r="B7" i="1"/>
  <c r="J6" i="1"/>
  <c r="G6" i="1"/>
  <c r="G73" i="1" s="1"/>
  <c r="G74" i="1" s="1"/>
  <c r="F6" i="1"/>
  <c r="E6" i="1"/>
  <c r="D6" i="1"/>
  <c r="B6" i="1"/>
  <c r="J3" i="1"/>
  <c r="J70" i="1" s="1"/>
  <c r="M42" i="1" l="1"/>
  <c r="Q42" i="1" s="1"/>
  <c r="M58" i="1"/>
  <c r="Q58" i="1" s="1"/>
  <c r="M10" i="1"/>
  <c r="Q10" i="1" s="1"/>
  <c r="M36" i="1"/>
  <c r="Q36" i="1" s="1"/>
  <c r="M52" i="1"/>
  <c r="Q52" i="1" s="1"/>
  <c r="M14" i="1"/>
  <c r="Q14" i="1" s="1"/>
  <c r="M18" i="1"/>
  <c r="Q18" i="1" s="1"/>
  <c r="M22" i="1"/>
  <c r="Q22" i="1" s="1"/>
  <c r="M26" i="1"/>
  <c r="Q26" i="1" s="1"/>
  <c r="M30" i="1"/>
  <c r="Q30" i="1" s="1"/>
  <c r="M46" i="1"/>
  <c r="Q46" i="1" s="1"/>
  <c r="D70" i="1"/>
  <c r="M40" i="1"/>
  <c r="Q40" i="1" s="1"/>
  <c r="M56" i="1"/>
  <c r="Q56" i="1" s="1"/>
  <c r="M8" i="1"/>
  <c r="Q8" i="1" s="1"/>
  <c r="F73" i="1"/>
  <c r="F74" i="1" s="1"/>
  <c r="F71" i="1"/>
  <c r="O6" i="1"/>
  <c r="O70" i="1" s="1"/>
  <c r="O4" i="1" s="1"/>
  <c r="M44" i="1"/>
  <c r="Q44" i="1" s="1"/>
  <c r="J60" i="1"/>
  <c r="M60" i="1" s="1"/>
  <c r="Q60" i="1" s="1"/>
  <c r="J62" i="1"/>
  <c r="M62" i="1" s="1"/>
  <c r="Q62" i="1" s="1"/>
  <c r="J64" i="1"/>
  <c r="M64" i="1" s="1"/>
  <c r="Q64" i="1" s="1"/>
  <c r="J66" i="1"/>
  <c r="M66" i="1" s="1"/>
  <c r="Q66" i="1" s="1"/>
  <c r="J68" i="1"/>
  <c r="M68" i="1" s="1"/>
  <c r="Q68" i="1" s="1"/>
  <c r="B70" i="1"/>
  <c r="C70" i="1" s="1"/>
  <c r="P6" i="1"/>
  <c r="P70" i="1" s="1"/>
  <c r="J7" i="1"/>
  <c r="M7" i="1" s="1"/>
  <c r="Q7" i="1" s="1"/>
  <c r="J9" i="1"/>
  <c r="M9" i="1" s="1"/>
  <c r="Q9" i="1" s="1"/>
  <c r="J11" i="1"/>
  <c r="M11" i="1" s="1"/>
  <c r="Q11" i="1" s="1"/>
  <c r="J13" i="1"/>
  <c r="M13" i="1" s="1"/>
  <c r="Q13" i="1" s="1"/>
  <c r="J15" i="1"/>
  <c r="M15" i="1" s="1"/>
  <c r="Q15" i="1" s="1"/>
  <c r="J17" i="1"/>
  <c r="M17" i="1" s="1"/>
  <c r="Q17" i="1" s="1"/>
  <c r="J19" i="1"/>
  <c r="M19" i="1" s="1"/>
  <c r="Q19" i="1" s="1"/>
  <c r="J21" i="1"/>
  <c r="M21" i="1" s="1"/>
  <c r="Q21" i="1" s="1"/>
  <c r="J23" i="1"/>
  <c r="M23" i="1" s="1"/>
  <c r="Q23" i="1" s="1"/>
  <c r="J25" i="1"/>
  <c r="M25" i="1" s="1"/>
  <c r="Q25" i="1" s="1"/>
  <c r="J27" i="1"/>
  <c r="M27" i="1" s="1"/>
  <c r="Q27" i="1" s="1"/>
  <c r="J29" i="1"/>
  <c r="M29" i="1" s="1"/>
  <c r="Q29" i="1" s="1"/>
  <c r="J31" i="1"/>
  <c r="M31" i="1" s="1"/>
  <c r="Q31" i="1" s="1"/>
  <c r="J33" i="1"/>
  <c r="M33" i="1" s="1"/>
  <c r="Q33" i="1" s="1"/>
  <c r="J35" i="1"/>
  <c r="M35" i="1" s="1"/>
  <c r="Q35" i="1" s="1"/>
  <c r="J37" i="1"/>
  <c r="M37" i="1" s="1"/>
  <c r="Q37" i="1" s="1"/>
  <c r="J39" i="1"/>
  <c r="M39" i="1" s="1"/>
  <c r="Q39" i="1" s="1"/>
  <c r="J41" i="1"/>
  <c r="M41" i="1" s="1"/>
  <c r="Q41" i="1" s="1"/>
  <c r="J43" i="1"/>
  <c r="M43" i="1" s="1"/>
  <c r="Q43" i="1" s="1"/>
  <c r="J45" i="1"/>
  <c r="M45" i="1" s="1"/>
  <c r="Q45" i="1" s="1"/>
  <c r="J47" i="1"/>
  <c r="M47" i="1" s="1"/>
  <c r="Q47" i="1" s="1"/>
  <c r="J49" i="1"/>
  <c r="M49" i="1" s="1"/>
  <c r="Q49" i="1" s="1"/>
  <c r="J51" i="1"/>
  <c r="M51" i="1" s="1"/>
  <c r="Q51" i="1" s="1"/>
  <c r="J53" i="1"/>
  <c r="M53" i="1" s="1"/>
  <c r="Q53" i="1" s="1"/>
  <c r="J55" i="1"/>
  <c r="M55" i="1" s="1"/>
  <c r="Q55" i="1" s="1"/>
  <c r="J57" i="1"/>
  <c r="M57" i="1" s="1"/>
  <c r="Q57" i="1" s="1"/>
  <c r="J59" i="1"/>
  <c r="M59" i="1" s="1"/>
  <c r="Q59" i="1" s="1"/>
  <c r="J61" i="1"/>
  <c r="M61" i="1" s="1"/>
  <c r="Q61" i="1" s="1"/>
  <c r="J63" i="1"/>
  <c r="M63" i="1" s="1"/>
  <c r="Q63" i="1" s="1"/>
  <c r="J65" i="1"/>
  <c r="M65" i="1" s="1"/>
  <c r="Q65" i="1" s="1"/>
  <c r="J67" i="1"/>
  <c r="M67" i="1" s="1"/>
  <c r="Q67" i="1" s="1"/>
  <c r="J69" i="1"/>
  <c r="M69" i="1" s="1"/>
  <c r="Q69" i="1" s="1"/>
  <c r="G71" i="1"/>
  <c r="C50" i="1" l="1"/>
  <c r="C49" i="1"/>
  <c r="C12" i="1"/>
  <c r="C51" i="1"/>
  <c r="C18" i="1"/>
  <c r="C45" i="1"/>
  <c r="C47" i="1"/>
  <c r="C15" i="1"/>
  <c r="C48" i="1"/>
  <c r="C38" i="1"/>
  <c r="C39" i="1"/>
  <c r="C40" i="1"/>
  <c r="C57" i="1"/>
  <c r="C14" i="1"/>
  <c r="C34" i="1"/>
  <c r="C36" i="1"/>
  <c r="C53" i="1"/>
  <c r="C11" i="1"/>
  <c r="C68" i="1"/>
  <c r="C29" i="1"/>
  <c r="C22" i="1"/>
  <c r="C58" i="1"/>
  <c r="C19" i="1"/>
  <c r="C59" i="1"/>
  <c r="C46" i="1"/>
  <c r="C9" i="1"/>
  <c r="C21" i="1"/>
  <c r="C42" i="1"/>
  <c r="C7" i="1"/>
  <c r="C43" i="1"/>
  <c r="C6" i="1"/>
  <c r="C33" i="1"/>
  <c r="C64" i="1"/>
  <c r="C69" i="1"/>
  <c r="C35" i="1"/>
  <c r="C17" i="1"/>
  <c r="C31" i="1"/>
  <c r="C66" i="1"/>
  <c r="C8" i="1"/>
  <c r="C24" i="1"/>
  <c r="C61" i="1"/>
  <c r="C62" i="1"/>
  <c r="C27" i="1"/>
  <c r="C67" i="1"/>
  <c r="C54" i="1"/>
  <c r="C20" i="1"/>
  <c r="C55" i="1"/>
  <c r="C56" i="1"/>
  <c r="C25" i="1"/>
  <c r="C32" i="1"/>
  <c r="C28" i="1"/>
  <c r="C60" i="1"/>
  <c r="C65" i="1"/>
  <c r="C41" i="1"/>
  <c r="C37" i="1"/>
  <c r="C13" i="1"/>
  <c r="C30" i="1"/>
  <c r="C26" i="1"/>
  <c r="C10" i="1"/>
  <c r="C52" i="1"/>
  <c r="M6" i="1"/>
  <c r="C23" i="1"/>
  <c r="C63" i="1"/>
  <c r="C16" i="1"/>
  <c r="C44" i="1"/>
  <c r="M70" i="1" l="1"/>
  <c r="M4" i="1" s="1"/>
  <c r="Q4" i="1" s="1"/>
  <c r="Q6" i="1"/>
  <c r="R6" i="1" l="1"/>
  <c r="Q70" i="1"/>
  <c r="R70" i="1" l="1"/>
  <c r="R5" i="1"/>
  <c r="R16" i="1"/>
  <c r="R54" i="1"/>
  <c r="R24" i="1"/>
  <c r="R28" i="1"/>
  <c r="R32" i="1"/>
  <c r="R20" i="1"/>
  <c r="R48" i="1"/>
  <c r="R34" i="1"/>
  <c r="R12" i="1"/>
  <c r="R50" i="1"/>
  <c r="R38" i="1"/>
  <c r="R19" i="1"/>
  <c r="R57" i="1"/>
  <c r="R53" i="1"/>
  <c r="R31" i="1"/>
  <c r="R45" i="1"/>
  <c r="R35" i="1"/>
  <c r="R58" i="1"/>
  <c r="R29" i="1"/>
  <c r="R13" i="1"/>
  <c r="R40" i="1"/>
  <c r="R47" i="1"/>
  <c r="R51" i="1"/>
  <c r="R44" i="1"/>
  <c r="R43" i="1"/>
  <c r="R25" i="1"/>
  <c r="R14" i="1"/>
  <c r="R37" i="1"/>
  <c r="R49" i="1"/>
  <c r="R64" i="1"/>
  <c r="R36" i="1"/>
  <c r="R11" i="1"/>
  <c r="R60" i="1"/>
  <c r="R67" i="1"/>
  <c r="R42" i="1"/>
  <c r="R21" i="1"/>
  <c r="R65" i="1"/>
  <c r="R33" i="1"/>
  <c r="R63" i="1"/>
  <c r="R22" i="1"/>
  <c r="R52" i="1"/>
  <c r="R8" i="1"/>
  <c r="R10" i="1"/>
  <c r="R59" i="1"/>
  <c r="R41" i="1"/>
  <c r="R17" i="1"/>
  <c r="R69" i="1"/>
  <c r="R18" i="1"/>
  <c r="R27" i="1"/>
  <c r="R9" i="1"/>
  <c r="R30" i="1"/>
  <c r="R26" i="1"/>
  <c r="R68" i="1"/>
  <c r="R15" i="1"/>
  <c r="R46" i="1"/>
  <c r="R62" i="1"/>
  <c r="R55" i="1"/>
  <c r="R66" i="1"/>
  <c r="R7" i="1"/>
  <c r="R56" i="1"/>
  <c r="R39" i="1"/>
  <c r="R23" i="1"/>
  <c r="R61" i="1"/>
</calcChain>
</file>

<file path=xl/sharedStrings.xml><?xml version="1.0" encoding="utf-8"?>
<sst xmlns="http://schemas.openxmlformats.org/spreadsheetml/2006/main" count="320" uniqueCount="137">
  <si>
    <t>Tranche</t>
  </si>
  <si>
    <t>Minimum/county</t>
  </si>
  <si>
    <t>"x" amount for D and U-S</t>
  </si>
  <si>
    <t>$ Allocated to Minority Pop.</t>
  </si>
  <si>
    <t>Allocate %:</t>
  </si>
  <si>
    <t>for Geo. Distr.</t>
  </si>
  <si>
    <t>For Establishments with 0 to 99 Employees</t>
  </si>
  <si>
    <t>Use Goal seek to set to Q4 amount to $xM Tranche size by changing I3 "Allocate %"</t>
  </si>
  <si>
    <t>County</t>
  </si>
  <si>
    <t>Population</t>
  </si>
  <si>
    <t>% of State Population</t>
  </si>
  <si>
    <t>County's % of Minority to State Minority Population*</t>
  </si>
  <si>
    <t>Minority as a % of County Population*</t>
  </si>
  <si>
    <t>DISTRESSED</t>
  </si>
  <si>
    <t>UNDER-SERVED</t>
  </si>
  <si>
    <t>NUMBER OF ESTABLISHMENTS</t>
  </si>
  <si>
    <t>% OF ESTABLISHMENTS</t>
  </si>
  <si>
    <t>Share of Tranche (% of Establishments)</t>
  </si>
  <si>
    <t>% OF EMPLOYMENT</t>
  </si>
  <si>
    <t>% OF ANNUAL PAYROLL</t>
  </si>
  <si>
    <t>General Pool</t>
  </si>
  <si>
    <t>Distressed/Underserved* ("x" remaining)</t>
  </si>
  <si>
    <t>Minority Population Allocation</t>
  </si>
  <si>
    <t>Total - Geographic, General Pool, and "x"</t>
  </si>
  <si>
    <t>Total Allocated</t>
  </si>
  <si>
    <t>Denver</t>
  </si>
  <si>
    <t>Arapahoe</t>
  </si>
  <si>
    <t>Jefferson</t>
  </si>
  <si>
    <t>El Paso</t>
  </si>
  <si>
    <t>Boulder</t>
  </si>
  <si>
    <t>Larimer</t>
  </si>
  <si>
    <t>Adams</t>
  </si>
  <si>
    <t>Douglas</t>
  </si>
  <si>
    <t>Weld</t>
  </si>
  <si>
    <t>Mesa</t>
  </si>
  <si>
    <t>Eagle</t>
  </si>
  <si>
    <t>Pueblo</t>
  </si>
  <si>
    <t>Garfield</t>
  </si>
  <si>
    <t>La Plata</t>
  </si>
  <si>
    <t>Summit</t>
  </si>
  <si>
    <t>Broomfield</t>
  </si>
  <si>
    <t>Routt</t>
  </si>
  <si>
    <t>Pitkin</t>
  </si>
  <si>
    <t>Montrose</t>
  </si>
  <si>
    <t>Gunnison</t>
  </si>
  <si>
    <t>Chaffee</t>
  </si>
  <si>
    <t>Grand</t>
  </si>
  <si>
    <t>Fremont</t>
  </si>
  <si>
    <t>Delta</t>
  </si>
  <si>
    <t>Montezuma</t>
  </si>
  <si>
    <t>Teller</t>
  </si>
  <si>
    <t>Elbert</t>
  </si>
  <si>
    <t>San Miguel</t>
  </si>
  <si>
    <t>Morgan</t>
  </si>
  <si>
    <t>Archuleta</t>
  </si>
  <si>
    <t>Logan</t>
  </si>
  <si>
    <t>Park</t>
  </si>
  <si>
    <t>Alamosa</t>
  </si>
  <si>
    <t>Moffat</t>
  </si>
  <si>
    <t>Yuma</t>
  </si>
  <si>
    <t>Clear Creek</t>
  </si>
  <si>
    <t>Otero</t>
  </si>
  <si>
    <t>Las Animas</t>
  </si>
  <si>
    <t>Rio Grande</t>
  </si>
  <si>
    <t>Prowers</t>
  </si>
  <si>
    <t>Ouray</t>
  </si>
  <si>
    <t>Kit Carson</t>
  </si>
  <si>
    <t>Lake</t>
  </si>
  <si>
    <t>Rio Blanco</t>
  </si>
  <si>
    <t>Custer</t>
  </si>
  <si>
    <t>Huerfano</t>
  </si>
  <si>
    <t>Phillips</t>
  </si>
  <si>
    <t>Saguache</t>
  </si>
  <si>
    <t>Lincoln</t>
  </si>
  <si>
    <t>Washington</t>
  </si>
  <si>
    <t>Conejos</t>
  </si>
  <si>
    <t>Gilpin</t>
  </si>
  <si>
    <t>San Juan</t>
  </si>
  <si>
    <t>Hinsdale</t>
  </si>
  <si>
    <t>Baca</t>
  </si>
  <si>
    <t>Jackson</t>
  </si>
  <si>
    <t>Mineral</t>
  </si>
  <si>
    <t>Sedgwick</t>
  </si>
  <si>
    <t>Cheyenne</t>
  </si>
  <si>
    <t>Dolores</t>
  </si>
  <si>
    <t>Bent</t>
  </si>
  <si>
    <t>Costilla</t>
  </si>
  <si>
    <t>Crowley</t>
  </si>
  <si>
    <t>Kiowa</t>
  </si>
  <si>
    <t>Grand Total</t>
  </si>
  <si>
    <t>* from MAP tab</t>
  </si>
  <si>
    <t>*If either Distressed or Underserved, then split the remaining x amount.</t>
  </si>
  <si>
    <t>% of Estab.</t>
  </si>
  <si>
    <t>Option 5</t>
  </si>
  <si>
    <t>25 w-MP (200)</t>
  </si>
  <si>
    <t>25 wo-MP (200)</t>
  </si>
  <si>
    <t>25 wo-MP (100)</t>
  </si>
  <si>
    <t>Tranche Amount</t>
  </si>
  <si>
    <t>Minority Pop</t>
  </si>
  <si>
    <t>(C) (I) IN ORDER TO ENSURE GEOGRAPHIC EQUITY, EACH TRANCHE OF</t>
  </si>
  <si>
    <t>LOAN FUNDING MUST BE SUBJECT TO AN INITIAL PERIOD OF TIME IN WHICH A</t>
  </si>
  <si>
    <t>PORTION OF THE MONEY IS ALLOCATED TO EACH COUNTY ON A BASIS</t>
  </si>
  <si>
    <t>PROPORTIONAL TO THE COUNTY'S SHARE OF SMALL BUSINESSES RELATIVE TO</t>
  </si>
  <si>
    <t>THE STATE, THE COUNTY'S SHARE OF SMALL BUSINESS EMPLOYEES RELATIVE</t>
  </si>
  <si>
    <t>TO THE STATE, THE COUNTY'S SHARE OF SMALL BUSINESS PERSONAL</t>
  </si>
  <si>
    <t>PROPERTY RELATIVE TO THE STATE, OR OTHER SIMILAR METRICS AS</t>
  </si>
  <si>
    <t>DETERMINED BY THE OVERSIGHT BOARD, OR BASED ON A FORMULA</t>
  </si>
  <si>
    <t>ESTABLISHED UNDER SUBSECTION (4)(c)(IV) OF THIS SECTION. THE MONEY</t>
  </si>
  <si>
    <t>ALLOCATED TO EACH COUNTY MUST BE RESERVED FOR APPLICATIONS FROM</t>
  </si>
  <si>
    <t>ELIGIBLE BORROWERS LOCATED IN THAT COUNTY FOR THE INITIAL PERIOD OF</t>
  </si>
  <si>
    <t>TIME. FOR THE PURPOSES OF THIS SUBSECTION (4)(c), AN ELIGIBLE</t>
  </si>
  <si>
    <t>BORROWER IS CONSIDERED TO BE LOCATED IN THE COUNTY IN WHICH IT HAS</t>
  </si>
  <si>
    <t>ITS PRINCIPAL PLACE OF BUSINESS, AS REFLECTED IN ITS MOST RECENT FILING</t>
  </si>
  <si>
    <t>WITH THE SECRETARY OF STATE OR SUBJECT TO SUCH OTHER</t>
  </si>
  <si>
    <t>DOCUMENTATION AS THE OVERSIGHT BOARD ESTABLISHES. THE OVERSIGHT</t>
  </si>
  <si>
    <t>BOARD SHALL DETERMINE THE AMOUNT OF TIME IN WHICH THE MONEY IN</t>
  </si>
  <si>
    <t>EACH TRANCHE IS SUBJECT TO A GEOGRAPHIC RESTRICTION UNDER THIS</t>
  </si>
  <si>
    <t>SUBSECTION (4)(c)(I).</t>
  </si>
  <si>
    <t>(II) ONCE THE TIME PERIOD ESTABLISHED BY THE OVERSIGHT BOARD</t>
  </si>
  <si>
    <t>UNDER SUBSECTION (4)(c)(I) OF THIS SECTION HAS PASSED, ALL MONEY</t>
  </si>
  <si>
    <t>REMAINING IN THE TRANCHE IS AVAILABLE TO ELIGIBLE BORROWERS ON A</t>
  </si>
  <si>
    <t>STATEWIDE BASIS.</t>
  </si>
  <si>
    <t>(III) FOR MONEY CONTRIBUTED TO THE COLORADO CREDIT RESERVE,</t>
  </si>
  <si>
    <t>THE OVERSIGHT BOARD MAY WAIVE THE REQUIREMENTS OF THIS SUBSECTION</t>
  </si>
  <si>
    <t>PAGE 14-HOUSE BILL 20-1413</t>
  </si>
  <si>
    <t>(4)(c) OR ESTABLISH ALTERNATIVE GEOGRAPHIC DISTRIBUTION</t>
  </si>
  <si>
    <t>REQUIREMENTS OR TARGETS.</t>
  </si>
  <si>
    <t>(IV) FOR ANY TRANCHE OF LOAN FUNDING, THE OVERSIGHT BOARD</t>
  </si>
  <si>
    <t>MAY, IN ITS DISCRETION, ESTABLISH AN ALTERNATIVE FORMULA FOR THE</t>
  </si>
  <si>
    <t>ALLOCATION OF FUNDS TO COUNTIES FOR PURPOSES OF SUBSECTION (4)(c)(I)</t>
  </si>
  <si>
    <t>OF THIS SECTION THAT ACCOUNTS FOR HOW AFFECTED EACH COUNTY HAS</t>
  </si>
  <si>
    <t>BEEN BY THE COVID-19 PANDEMIC AND ITS IMPACTS.</t>
  </si>
  <si>
    <t>30 w-MP (200)</t>
  </si>
  <si>
    <t>30 wo-MP (200)</t>
  </si>
  <si>
    <t>30 wo-MP (120)</t>
  </si>
  <si>
    <t>Distressed or Underserved</t>
  </si>
  <si>
    <t>1x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</si>
</sst>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3" fillId="0" borderId="1" xfId="2" applyNumberFormat="1" applyFont="1" applyBorder="1" applyAlignment="1">
      <alignment horizontal="center" vertical="center"/>
    </xf>
    <xf numFmtId="164" fontId="4" fillId="0" borderId="1" xfId="1" applyNumberFormat="1" applyFont="1" applyBorder="1"/>
    <xf numFmtId="3" fontId="3" fillId="0" borderId="5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5" fontId="3" fillId="0" borderId="6" xfId="1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4" fontId="0" fillId="0" borderId="0" xfId="0" applyNumberFormat="1"/>
    <xf numFmtId="164" fontId="3" fillId="0" borderId="0" xfId="1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10" fontId="0" fillId="0" borderId="12" xfId="0" applyNumberForma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2" fillId="2" borderId="14" xfId="0" applyFont="1" applyFill="1" applyBorder="1" applyAlignment="1">
      <alignment horizontal="left"/>
    </xf>
    <xf numFmtId="10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/>
    </xf>
    <xf numFmtId="164" fontId="0" fillId="0" borderId="16" xfId="0" applyNumberFormat="1" applyBorder="1"/>
    <xf numFmtId="9" fontId="0" fillId="0" borderId="16" xfId="2" applyFont="1" applyBorder="1" applyAlignment="1">
      <alignment horizontal="center"/>
    </xf>
    <xf numFmtId="10" fontId="0" fillId="0" borderId="0" xfId="2" applyNumberFormat="1" applyFont="1" applyAlignment="1">
      <alignment horizontal="left"/>
    </xf>
    <xf numFmtId="9" fontId="0" fillId="0" borderId="0" xfId="2" applyFont="1"/>
    <xf numFmtId="164" fontId="0" fillId="5" borderId="0" xfId="0" applyNumberFormat="1" applyFill="1"/>
    <xf numFmtId="0" fontId="2" fillId="4" borderId="8" xfId="0" applyFont="1" applyFill="1" applyBorder="1" applyAlignment="1">
      <alignment horizontal="center" vertical="center" wrapText="1"/>
    </xf>
    <xf numFmtId="164" fontId="0" fillId="5" borderId="16" xfId="0" applyNumberFormat="1" applyFill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 vertical="center" wrapText="1"/>
    </xf>
    <xf numFmtId="164" fontId="0" fillId="5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5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1.225\oeditdata\Finance\CLIMBER\CLIMBER%20Benchmark%20and%20Allocation%20-%20new%20otions%20-%2002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s"/>
      <sheetName val="Targets"/>
      <sheetName val="W-V-M-R Targets"/>
      <sheetName val="Period"/>
      <sheetName val="Summary"/>
      <sheetName val="Option 1"/>
      <sheetName val="Option 2a (delete)"/>
      <sheetName val="Option 2"/>
      <sheetName val="Option 3"/>
      <sheetName val="Option 4"/>
      <sheetName val="Option 5"/>
      <sheetName val="25 w-MP (200)"/>
      <sheetName val="25 w-MP (100)"/>
      <sheetName val="25 wo-MP (200)"/>
      <sheetName val="25 wo-MP (100)"/>
      <sheetName val="30 w-MP (200)"/>
      <sheetName val="30 w-MP (120)"/>
      <sheetName val="30 wo-MP (200)"/>
      <sheetName val="30 wo-MP (120)"/>
      <sheetName val="New Options $25M"/>
      <sheetName val="New Options $30M"/>
      <sheetName val="Option 6"/>
      <sheetName val="Allocation Statute"/>
      <sheetName val="MAP"/>
      <sheetName val="Minority Data"/>
      <sheetName val="Pivot"/>
      <sheetName val="County, totals"/>
      <sheetName val="Distressed and Underserved"/>
      <sheetName val="Pop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 t="str">
            <v>County</v>
          </cell>
          <cell r="B2" t="str">
            <v>Total</v>
          </cell>
          <cell r="C2" t="str">
            <v>White, Not Hispanic</v>
          </cell>
          <cell r="D2" t="str">
            <v>Male</v>
          </cell>
          <cell r="E2" t="str">
            <v>Non-Veteran</v>
          </cell>
          <cell r="F2" t="str">
            <v>Minority (Race &amp; Ethnicity)</v>
          </cell>
          <cell r="G2" t="str">
            <v>Female</v>
          </cell>
          <cell r="H2" t="str">
            <v>Veteran</v>
          </cell>
          <cell r="I2" t="str">
            <v>Share Minority</v>
          </cell>
          <cell r="J2" t="str">
            <v>Minority Population</v>
          </cell>
          <cell r="K2" t="str">
            <v>Minority as a % of State Minority</v>
          </cell>
          <cell r="L2" t="str">
            <v>from other sheet to compare</v>
          </cell>
          <cell r="M2" t="str">
            <v>Share Fem</v>
          </cell>
          <cell r="N2" t="str">
            <v>Share Vet</v>
          </cell>
        </row>
        <row r="3">
          <cell r="A3" t="str">
            <v>San Juan</v>
          </cell>
          <cell r="B3">
            <v>544</v>
          </cell>
          <cell r="C3">
            <v>489</v>
          </cell>
          <cell r="D3">
            <v>283</v>
          </cell>
          <cell r="E3">
            <v>415</v>
          </cell>
          <cell r="F3">
            <v>55</v>
          </cell>
          <cell r="G3">
            <v>261</v>
          </cell>
          <cell r="H3">
            <v>129</v>
          </cell>
          <cell r="I3">
            <v>0.10110294117647059</v>
          </cell>
          <cell r="J3">
            <v>55</v>
          </cell>
          <cell r="K3">
            <v>3.1376056873952114E-5</v>
          </cell>
          <cell r="L3">
            <v>3.4246826058441245E-5</v>
          </cell>
          <cell r="M3">
            <v>0.4797794117647059</v>
          </cell>
          <cell r="N3">
            <v>0.23713235294117646</v>
          </cell>
        </row>
        <row r="4">
          <cell r="A4" t="str">
            <v>Mineral</v>
          </cell>
          <cell r="B4">
            <v>823</v>
          </cell>
          <cell r="C4">
            <v>714</v>
          </cell>
          <cell r="D4">
            <v>346</v>
          </cell>
          <cell r="E4">
            <v>673</v>
          </cell>
          <cell r="F4">
            <v>109</v>
          </cell>
          <cell r="G4">
            <v>477</v>
          </cell>
          <cell r="H4">
            <v>150</v>
          </cell>
          <cell r="I4">
            <v>0.1324422843256379</v>
          </cell>
          <cell r="J4">
            <v>108.99999999999999</v>
          </cell>
          <cell r="K4">
            <v>6.2181639986559631E-5</v>
          </cell>
          <cell r="L4">
            <v>7.5932863108687309E-5</v>
          </cell>
          <cell r="M4">
            <v>0.57958687727825031</v>
          </cell>
          <cell r="N4">
            <v>0.18226002430133659</v>
          </cell>
        </row>
        <row r="5">
          <cell r="A5" t="str">
            <v>Hinsdale</v>
          </cell>
          <cell r="B5">
            <v>878</v>
          </cell>
          <cell r="C5">
            <v>792</v>
          </cell>
          <cell r="D5">
            <v>383</v>
          </cell>
          <cell r="E5">
            <v>653</v>
          </cell>
          <cell r="F5">
            <v>86</v>
          </cell>
          <cell r="G5">
            <v>495</v>
          </cell>
          <cell r="H5">
            <v>225</v>
          </cell>
          <cell r="I5">
            <v>9.7949886104783598E-2</v>
          </cell>
          <cell r="J5">
            <v>86</v>
          </cell>
          <cell r="K5">
            <v>4.9060743475634208E-5</v>
          </cell>
          <cell r="L5">
            <v>4.2394001031434589E-5</v>
          </cell>
          <cell r="M5">
            <v>0.5637813211845103</v>
          </cell>
          <cell r="N5">
            <v>0.25626423690205014</v>
          </cell>
        </row>
        <row r="6">
          <cell r="A6" t="str">
            <v>Jackson</v>
          </cell>
          <cell r="B6">
            <v>1296</v>
          </cell>
          <cell r="C6">
            <v>1037</v>
          </cell>
          <cell r="D6">
            <v>586</v>
          </cell>
          <cell r="E6">
            <v>890</v>
          </cell>
          <cell r="F6">
            <v>259</v>
          </cell>
          <cell r="G6">
            <v>710</v>
          </cell>
          <cell r="H6">
            <v>406</v>
          </cell>
          <cell r="I6">
            <v>0.19984567901234568</v>
          </cell>
          <cell r="J6">
            <v>259</v>
          </cell>
          <cell r="K6">
            <v>1.477527041882472E-4</v>
          </cell>
          <cell r="L6">
            <v>1.6986664197064734E-4</v>
          </cell>
          <cell r="M6">
            <v>0.5478395061728395</v>
          </cell>
          <cell r="N6">
            <v>0.31327160493827161</v>
          </cell>
        </row>
        <row r="7">
          <cell r="A7" t="str">
            <v>Kiowa</v>
          </cell>
          <cell r="B7">
            <v>1449</v>
          </cell>
          <cell r="C7">
            <v>1260</v>
          </cell>
          <cell r="D7">
            <v>681</v>
          </cell>
          <cell r="E7">
            <v>978</v>
          </cell>
          <cell r="F7">
            <v>189</v>
          </cell>
          <cell r="G7">
            <v>768</v>
          </cell>
          <cell r="H7">
            <v>471</v>
          </cell>
          <cell r="I7">
            <v>0.13043478260869565</v>
          </cell>
          <cell r="J7">
            <v>189</v>
          </cell>
          <cell r="K7">
            <v>1.0781954089412634E-4</v>
          </cell>
          <cell r="L7">
            <v>8.7752135468319094E-5</v>
          </cell>
          <cell r="M7">
            <v>0.53002070393374745</v>
          </cell>
          <cell r="N7">
            <v>0.32505175983436851</v>
          </cell>
        </row>
        <row r="8">
          <cell r="A8" t="str">
            <v>Dolores</v>
          </cell>
          <cell r="B8">
            <v>1841</v>
          </cell>
          <cell r="C8">
            <v>1674</v>
          </cell>
          <cell r="D8">
            <v>957</v>
          </cell>
          <cell r="E8">
            <v>1315</v>
          </cell>
          <cell r="F8">
            <v>167</v>
          </cell>
          <cell r="G8">
            <v>884</v>
          </cell>
          <cell r="H8">
            <v>526</v>
          </cell>
          <cell r="I8">
            <v>9.0711569799022271E-2</v>
          </cell>
          <cell r="J8">
            <v>167</v>
          </cell>
          <cell r="K8">
            <v>9.5269118144545496E-5</v>
          </cell>
          <cell r="L8">
            <v>8.8057677818095191E-5</v>
          </cell>
          <cell r="M8">
            <v>0.48017381857686042</v>
          </cell>
          <cell r="N8">
            <v>0.2857142857142857</v>
          </cell>
        </row>
        <row r="9">
          <cell r="A9" t="str">
            <v>Cheyenne</v>
          </cell>
          <cell r="B9">
            <v>2039</v>
          </cell>
          <cell r="C9">
            <v>1579</v>
          </cell>
          <cell r="D9">
            <v>889</v>
          </cell>
          <cell r="E9">
            <v>1259</v>
          </cell>
          <cell r="F9">
            <v>460</v>
          </cell>
          <cell r="G9">
            <v>1150</v>
          </cell>
          <cell r="H9">
            <v>780</v>
          </cell>
          <cell r="I9">
            <v>0.22560078469838157</v>
          </cell>
          <cell r="J9">
            <v>460</v>
          </cell>
          <cell r="K9">
            <v>2.6241793021850859E-4</v>
          </cell>
          <cell r="L9">
            <v>1.9529512457129746E-4</v>
          </cell>
          <cell r="M9">
            <v>0.56400196174595385</v>
          </cell>
          <cell r="N9">
            <v>0.38254046101029915</v>
          </cell>
        </row>
        <row r="10">
          <cell r="A10" t="str">
            <v>Sedgwick</v>
          </cell>
          <cell r="B10">
            <v>2350</v>
          </cell>
          <cell r="C10">
            <v>1934</v>
          </cell>
          <cell r="D10">
            <v>1069</v>
          </cell>
          <cell r="E10">
            <v>1597</v>
          </cell>
          <cell r="F10">
            <v>416</v>
          </cell>
          <cell r="G10">
            <v>1281</v>
          </cell>
          <cell r="H10">
            <v>753</v>
          </cell>
          <cell r="I10">
            <v>0.17702127659574468</v>
          </cell>
          <cell r="J10">
            <v>416</v>
          </cell>
          <cell r="K10">
            <v>2.3731708471934687E-4</v>
          </cell>
          <cell r="L10">
            <v>2.2406687391995499E-4</v>
          </cell>
          <cell r="M10">
            <v>0.54510638297872338</v>
          </cell>
          <cell r="N10">
            <v>0.32042553191489359</v>
          </cell>
        </row>
        <row r="11">
          <cell r="A11" t="str">
            <v>Baca</v>
          </cell>
          <cell r="B11">
            <v>3563</v>
          </cell>
          <cell r="C11">
            <v>3038</v>
          </cell>
          <cell r="D11">
            <v>1659</v>
          </cell>
          <cell r="E11">
            <v>2577</v>
          </cell>
          <cell r="F11">
            <v>525</v>
          </cell>
          <cell r="G11">
            <v>1904</v>
          </cell>
          <cell r="H11">
            <v>986</v>
          </cell>
          <cell r="I11">
            <v>0.14734774066797643</v>
          </cell>
          <cell r="J11">
            <v>525</v>
          </cell>
          <cell r="K11">
            <v>2.9949872470590649E-4</v>
          </cell>
          <cell r="L11">
            <v>2.6519725239812345E-4</v>
          </cell>
          <cell r="M11">
            <v>0.53438113948919452</v>
          </cell>
          <cell r="N11">
            <v>0.27673309009261859</v>
          </cell>
        </row>
        <row r="12">
          <cell r="A12" t="str">
            <v>Costilla</v>
          </cell>
          <cell r="B12">
            <v>3687</v>
          </cell>
          <cell r="C12">
            <v>1217</v>
          </cell>
          <cell r="D12">
            <v>1745</v>
          </cell>
          <cell r="E12">
            <v>2623</v>
          </cell>
          <cell r="F12">
            <v>2470</v>
          </cell>
          <cell r="G12">
            <v>1942</v>
          </cell>
          <cell r="H12">
            <v>1064</v>
          </cell>
          <cell r="I12">
            <v>0.66992134526715486</v>
          </cell>
          <cell r="J12">
            <v>2470</v>
          </cell>
          <cell r="K12">
            <v>1.409070190521122E-3</v>
          </cell>
          <cell r="L12">
            <v>1.3035107344167667E-3</v>
          </cell>
          <cell r="M12">
            <v>0.52671548684567404</v>
          </cell>
          <cell r="N12">
            <v>0.28858150257662057</v>
          </cell>
        </row>
        <row r="13">
          <cell r="A13" t="str">
            <v>Phillips</v>
          </cell>
          <cell r="B13">
            <v>4318</v>
          </cell>
          <cell r="C13">
            <v>3267</v>
          </cell>
          <cell r="D13">
            <v>2198</v>
          </cell>
          <cell r="E13">
            <v>2889</v>
          </cell>
          <cell r="F13">
            <v>1051</v>
          </cell>
          <cell r="G13">
            <v>2120</v>
          </cell>
          <cell r="H13">
            <v>1429</v>
          </cell>
          <cell r="I13">
            <v>0.24339972209356184</v>
          </cell>
          <cell r="J13">
            <v>1051</v>
          </cell>
          <cell r="K13">
            <v>5.9956792317315756E-4</v>
          </cell>
          <cell r="L13">
            <v>5.0854170606637599E-4</v>
          </cell>
          <cell r="M13">
            <v>0.49096804075961092</v>
          </cell>
          <cell r="N13">
            <v>0.33094025011579437</v>
          </cell>
        </row>
        <row r="14">
          <cell r="A14" t="str">
            <v>Custer</v>
          </cell>
          <cell r="B14">
            <v>4640</v>
          </cell>
          <cell r="C14">
            <v>3946</v>
          </cell>
          <cell r="D14">
            <v>2123</v>
          </cell>
          <cell r="E14">
            <v>3063</v>
          </cell>
          <cell r="F14">
            <v>694</v>
          </cell>
          <cell r="G14">
            <v>2517</v>
          </cell>
          <cell r="H14">
            <v>1577</v>
          </cell>
          <cell r="I14">
            <v>0.14956896551724139</v>
          </cell>
          <cell r="J14">
            <v>694</v>
          </cell>
          <cell r="K14">
            <v>3.9590879037314117E-4</v>
          </cell>
          <cell r="L14">
            <v>3.8240115524966278E-4</v>
          </cell>
          <cell r="M14">
            <v>0.54245689655172413</v>
          </cell>
          <cell r="N14">
            <v>0.33987068965517242</v>
          </cell>
        </row>
        <row r="15">
          <cell r="A15" t="str">
            <v>Ouray</v>
          </cell>
          <cell r="B15">
            <v>4722</v>
          </cell>
          <cell r="C15">
            <v>4401</v>
          </cell>
          <cell r="D15">
            <v>2246</v>
          </cell>
          <cell r="E15">
            <v>3586</v>
          </cell>
          <cell r="F15">
            <v>321</v>
          </cell>
          <cell r="G15">
            <v>2476</v>
          </cell>
          <cell r="H15">
            <v>1136</v>
          </cell>
          <cell r="I15">
            <v>6.7979669631512071E-2</v>
          </cell>
          <cell r="J15">
            <v>321</v>
          </cell>
          <cell r="K15">
            <v>1.831220773916114E-4</v>
          </cell>
          <cell r="L15">
            <v>1.5914657684496623E-4</v>
          </cell>
          <cell r="M15">
            <v>0.52435408725116472</v>
          </cell>
          <cell r="N15">
            <v>0.24057602710715797</v>
          </cell>
        </row>
        <row r="16">
          <cell r="A16" t="str">
            <v>Washington</v>
          </cell>
          <cell r="B16">
            <v>4840</v>
          </cell>
          <cell r="C16">
            <v>4229</v>
          </cell>
          <cell r="D16">
            <v>2399</v>
          </cell>
          <cell r="E16">
            <v>3405</v>
          </cell>
          <cell r="F16">
            <v>611</v>
          </cell>
          <cell r="G16">
            <v>2441</v>
          </cell>
          <cell r="H16">
            <v>1435</v>
          </cell>
          <cell r="I16">
            <v>0.12623966942148759</v>
          </cell>
          <cell r="J16">
            <v>611</v>
          </cell>
          <cell r="K16">
            <v>3.485594681815407E-4</v>
          </cell>
          <cell r="L16">
            <v>3.2232295919338189E-4</v>
          </cell>
          <cell r="M16">
            <v>0.50433884297520659</v>
          </cell>
          <cell r="N16">
            <v>0.29648760330578511</v>
          </cell>
        </row>
        <row r="17">
          <cell r="A17" t="str">
            <v>Lincoln</v>
          </cell>
          <cell r="B17">
            <v>5548</v>
          </cell>
          <cell r="C17">
            <v>3668</v>
          </cell>
          <cell r="D17">
            <v>2823</v>
          </cell>
          <cell r="E17">
            <v>4078</v>
          </cell>
          <cell r="F17">
            <v>1880</v>
          </cell>
          <cell r="G17">
            <v>2725</v>
          </cell>
          <cell r="H17">
            <v>1470</v>
          </cell>
          <cell r="I17">
            <v>0.33886085075702954</v>
          </cell>
          <cell r="J17">
            <v>1880</v>
          </cell>
          <cell r="K17">
            <v>1.0724906713278177E-3</v>
          </cell>
          <cell r="L17">
            <v>9.320210740271723E-4</v>
          </cell>
          <cell r="M17">
            <v>0.49116798846431148</v>
          </cell>
          <cell r="N17">
            <v>0.26496034607065611</v>
          </cell>
        </row>
        <row r="18">
          <cell r="A18" t="str">
            <v>Crowley</v>
          </cell>
          <cell r="B18">
            <v>5630</v>
          </cell>
          <cell r="C18">
            <v>3517</v>
          </cell>
          <cell r="D18">
            <v>3020</v>
          </cell>
          <cell r="E18">
            <v>4398</v>
          </cell>
          <cell r="F18">
            <v>2113</v>
          </cell>
          <cell r="G18">
            <v>2610</v>
          </cell>
          <cell r="H18">
            <v>1232</v>
          </cell>
          <cell r="I18">
            <v>0.37531083481349914</v>
          </cell>
          <cell r="J18">
            <v>2113</v>
          </cell>
          <cell r="K18">
            <v>1.2054110577211057E-3</v>
          </cell>
          <cell r="L18">
            <v>1.2026007157454369E-3</v>
          </cell>
          <cell r="M18">
            <v>0.4635879218472469</v>
          </cell>
          <cell r="N18">
            <v>0.21882770870337478</v>
          </cell>
        </row>
        <row r="19">
          <cell r="A19" t="str">
            <v>Bent</v>
          </cell>
          <cell r="B19">
            <v>5809</v>
          </cell>
          <cell r="C19">
            <v>3682</v>
          </cell>
          <cell r="D19">
            <v>3384</v>
          </cell>
          <cell r="E19">
            <v>4417</v>
          </cell>
          <cell r="F19">
            <v>2127</v>
          </cell>
          <cell r="G19">
            <v>2425</v>
          </cell>
          <cell r="H19">
            <v>1392</v>
          </cell>
          <cell r="I19">
            <v>0.36615596488207952</v>
          </cell>
          <cell r="J19">
            <v>2127</v>
          </cell>
          <cell r="K19">
            <v>1.2133976903799298E-3</v>
          </cell>
          <cell r="L19">
            <v>1.0520181742439665E-3</v>
          </cell>
          <cell r="M19">
            <v>0.41745567223274227</v>
          </cell>
          <cell r="N19">
            <v>0.23962816319504218</v>
          </cell>
        </row>
        <row r="20">
          <cell r="A20" t="str">
            <v>Gilpin</v>
          </cell>
          <cell r="B20">
            <v>5924</v>
          </cell>
          <cell r="C20">
            <v>5123</v>
          </cell>
          <cell r="D20">
            <v>2953</v>
          </cell>
          <cell r="E20">
            <v>4208</v>
          </cell>
          <cell r="F20">
            <v>801</v>
          </cell>
          <cell r="G20">
            <v>2971</v>
          </cell>
          <cell r="H20">
            <v>1716</v>
          </cell>
          <cell r="I20">
            <v>0.13521269412559081</v>
          </cell>
          <cell r="J20">
            <v>801</v>
          </cell>
          <cell r="K20">
            <v>4.5694948283701164E-4</v>
          </cell>
          <cell r="L20">
            <v>4.4779746494884542E-4</v>
          </cell>
          <cell r="M20">
            <v>0.50151924375422008</v>
          </cell>
          <cell r="N20">
            <v>0.28966914247130315</v>
          </cell>
        </row>
        <row r="21">
          <cell r="A21" t="str">
            <v>Rio Blanco</v>
          </cell>
          <cell r="B21">
            <v>6465</v>
          </cell>
          <cell r="C21">
            <v>5482</v>
          </cell>
          <cell r="D21">
            <v>3100</v>
          </cell>
          <cell r="E21">
            <v>4298</v>
          </cell>
          <cell r="F21">
            <v>983</v>
          </cell>
          <cell r="G21">
            <v>3365</v>
          </cell>
          <cell r="H21">
            <v>2167</v>
          </cell>
          <cell r="I21">
            <v>0.15204949729311679</v>
          </cell>
          <cell r="J21">
            <v>983</v>
          </cell>
          <cell r="K21">
            <v>5.6077570740172586E-4</v>
          </cell>
          <cell r="L21">
            <v>4.9189896331912016E-4</v>
          </cell>
          <cell r="M21">
            <v>0.52049497293116787</v>
          </cell>
          <cell r="N21">
            <v>0.33518948182521269</v>
          </cell>
        </row>
        <row r="22">
          <cell r="A22" t="str">
            <v>Saguache</v>
          </cell>
          <cell r="B22">
            <v>6468</v>
          </cell>
          <cell r="C22">
            <v>3785</v>
          </cell>
          <cell r="D22">
            <v>2953</v>
          </cell>
          <cell r="E22">
            <v>4600</v>
          </cell>
          <cell r="F22">
            <v>2683</v>
          </cell>
          <cell r="G22">
            <v>3515</v>
          </cell>
          <cell r="H22">
            <v>1868</v>
          </cell>
          <cell r="I22">
            <v>0.41481137909709337</v>
          </cell>
          <cell r="J22">
            <v>2683</v>
          </cell>
          <cell r="K22">
            <v>1.5305811016875185E-3</v>
          </cell>
          <cell r="L22">
            <v>1.420738391322938E-3</v>
          </cell>
          <cell r="M22">
            <v>0.54344465058750768</v>
          </cell>
          <cell r="N22">
            <v>0.2888064316635745</v>
          </cell>
        </row>
        <row r="23">
          <cell r="A23" t="str">
            <v>Huerfano</v>
          </cell>
          <cell r="B23">
            <v>6583</v>
          </cell>
          <cell r="C23">
            <v>4186</v>
          </cell>
          <cell r="D23">
            <v>3064</v>
          </cell>
          <cell r="E23">
            <v>4629</v>
          </cell>
          <cell r="F23">
            <v>2397</v>
          </cell>
          <cell r="G23">
            <v>3519</v>
          </cell>
          <cell r="H23">
            <v>1954</v>
          </cell>
          <cell r="I23">
            <v>0.36411970226340573</v>
          </cell>
          <cell r="J23">
            <v>2397</v>
          </cell>
          <cell r="K23">
            <v>1.3674256059429675E-3</v>
          </cell>
          <cell r="L23">
            <v>1.2945917855511225E-3</v>
          </cell>
          <cell r="M23">
            <v>0.53455871183351056</v>
          </cell>
          <cell r="N23">
            <v>0.2968251557040863</v>
          </cell>
        </row>
        <row r="24">
          <cell r="A24" t="str">
            <v>Lake</v>
          </cell>
          <cell r="B24">
            <v>7585</v>
          </cell>
          <cell r="C24">
            <v>4997</v>
          </cell>
          <cell r="D24">
            <v>3803</v>
          </cell>
          <cell r="E24">
            <v>5838</v>
          </cell>
          <cell r="F24">
            <v>2588</v>
          </cell>
          <cell r="G24">
            <v>3782</v>
          </cell>
          <cell r="H24">
            <v>1747</v>
          </cell>
          <cell r="I24">
            <v>0.34119973632168754</v>
          </cell>
          <cell r="J24">
            <v>2588</v>
          </cell>
          <cell r="K24">
            <v>1.4763860943597829E-3</v>
          </cell>
          <cell r="L24">
            <v>1.6958047547719851E-3</v>
          </cell>
          <cell r="M24">
            <v>0.49861568885959129</v>
          </cell>
          <cell r="N24">
            <v>0.23032300593276203</v>
          </cell>
        </row>
        <row r="25">
          <cell r="A25" t="str">
            <v>Kit Carson</v>
          </cell>
          <cell r="B25">
            <v>7635</v>
          </cell>
          <cell r="C25">
            <v>5852</v>
          </cell>
          <cell r="D25">
            <v>3624</v>
          </cell>
          <cell r="E25">
            <v>5301</v>
          </cell>
          <cell r="F25">
            <v>1783</v>
          </cell>
          <cell r="G25">
            <v>4011</v>
          </cell>
          <cell r="H25">
            <v>2334</v>
          </cell>
          <cell r="I25">
            <v>0.2335297969875573</v>
          </cell>
          <cell r="J25">
            <v>1783</v>
          </cell>
          <cell r="K25">
            <v>1.017154716477393E-3</v>
          </cell>
          <cell r="L25">
            <v>9.5860651881813318E-4</v>
          </cell>
          <cell r="M25">
            <v>0.52534381139489195</v>
          </cell>
          <cell r="N25">
            <v>0.3056974459724951</v>
          </cell>
        </row>
        <row r="26">
          <cell r="A26" t="str">
            <v>San Miguel</v>
          </cell>
          <cell r="B26">
            <v>7968</v>
          </cell>
          <cell r="C26">
            <v>6885</v>
          </cell>
          <cell r="D26">
            <v>4047</v>
          </cell>
          <cell r="E26">
            <v>6138</v>
          </cell>
          <cell r="F26">
            <v>1083</v>
          </cell>
          <cell r="G26">
            <v>3921</v>
          </cell>
          <cell r="H26">
            <v>1830</v>
          </cell>
          <cell r="I26">
            <v>0.13591867469879518</v>
          </cell>
          <cell r="J26">
            <v>1083</v>
          </cell>
          <cell r="K26">
            <v>6.1782308353618425E-4</v>
          </cell>
          <cell r="L26">
            <v>5.5999624875969253E-4</v>
          </cell>
          <cell r="M26">
            <v>0.49209337349397592</v>
          </cell>
          <cell r="N26">
            <v>0.22966867469879518</v>
          </cell>
        </row>
        <row r="27">
          <cell r="A27" t="str">
            <v>Conejos</v>
          </cell>
          <cell r="B27">
            <v>8142</v>
          </cell>
          <cell r="C27">
            <v>3584</v>
          </cell>
          <cell r="D27">
            <v>3656</v>
          </cell>
          <cell r="E27">
            <v>5408</v>
          </cell>
          <cell r="F27">
            <v>4558</v>
          </cell>
          <cell r="G27">
            <v>4486</v>
          </cell>
          <cell r="H27">
            <v>2734</v>
          </cell>
          <cell r="I27">
            <v>0.55981331368214193</v>
          </cell>
          <cell r="J27">
            <v>4558</v>
          </cell>
          <cell r="K27">
            <v>2.6002194042086132E-3</v>
          </cell>
          <cell r="L27">
            <v>2.3923267338803386E-3</v>
          </cell>
          <cell r="M27">
            <v>0.55097027757307782</v>
          </cell>
          <cell r="N27">
            <v>0.33578973225251779</v>
          </cell>
        </row>
        <row r="28">
          <cell r="A28" t="str">
            <v>Clear Creek</v>
          </cell>
          <cell r="B28">
            <v>9379</v>
          </cell>
          <cell r="C28">
            <v>8367</v>
          </cell>
          <cell r="D28">
            <v>4576</v>
          </cell>
          <cell r="E28">
            <v>7297</v>
          </cell>
          <cell r="F28">
            <v>1012</v>
          </cell>
          <cell r="G28">
            <v>4803</v>
          </cell>
          <cell r="H28">
            <v>2082</v>
          </cell>
          <cell r="I28">
            <v>0.10790062906493229</v>
          </cell>
          <cell r="J28">
            <v>1012</v>
          </cell>
          <cell r="K28">
            <v>5.7731944648071879E-4</v>
          </cell>
          <cell r="L28">
            <v>5.3763343650389968E-4</v>
          </cell>
          <cell r="M28">
            <v>0.51210150335856697</v>
          </cell>
          <cell r="N28">
            <v>0.22198528627785477</v>
          </cell>
        </row>
        <row r="29">
          <cell r="A29" t="str">
            <v>Yuma</v>
          </cell>
          <cell r="B29">
            <v>10069</v>
          </cell>
          <cell r="C29">
            <v>7579</v>
          </cell>
          <cell r="D29">
            <v>4602</v>
          </cell>
          <cell r="E29">
            <v>6768</v>
          </cell>
          <cell r="F29">
            <v>2490</v>
          </cell>
          <cell r="G29">
            <v>5467</v>
          </cell>
          <cell r="H29">
            <v>3301</v>
          </cell>
          <cell r="I29">
            <v>0.24729367365180258</v>
          </cell>
          <cell r="J29">
            <v>2490</v>
          </cell>
          <cell r="K29">
            <v>1.4204796657480137E-3</v>
          </cell>
          <cell r="L29">
            <v>1.4046187035433632E-3</v>
          </cell>
          <cell r="M29">
            <v>0.54295362002184921</v>
          </cell>
          <cell r="N29">
            <v>0.32783791836329329</v>
          </cell>
        </row>
        <row r="30">
          <cell r="A30" t="str">
            <v>Rio Grande</v>
          </cell>
          <cell r="B30">
            <v>11351</v>
          </cell>
          <cell r="C30">
            <v>5920</v>
          </cell>
          <cell r="D30">
            <v>5210</v>
          </cell>
          <cell r="E30">
            <v>8070</v>
          </cell>
          <cell r="F30">
            <v>5431</v>
          </cell>
          <cell r="G30">
            <v>6141</v>
          </cell>
          <cell r="H30">
            <v>3281</v>
          </cell>
          <cell r="I30">
            <v>0.47846004757290106</v>
          </cell>
          <cell r="J30">
            <v>5431</v>
          </cell>
          <cell r="K30">
            <v>3.0982429978624348E-3</v>
          </cell>
          <cell r="L30">
            <v>2.8023161276390538E-3</v>
          </cell>
          <cell r="M30">
            <v>0.5410096026781781</v>
          </cell>
          <cell r="N30">
            <v>0.28904942295832964</v>
          </cell>
        </row>
        <row r="31">
          <cell r="A31" t="str">
            <v>Prowers</v>
          </cell>
          <cell r="B31">
            <v>12052</v>
          </cell>
          <cell r="C31">
            <v>7172</v>
          </cell>
          <cell r="D31">
            <v>5698</v>
          </cell>
          <cell r="E31">
            <v>8407</v>
          </cell>
          <cell r="F31">
            <v>4880</v>
          </cell>
          <cell r="G31">
            <v>6354</v>
          </cell>
          <cell r="H31">
            <v>3645</v>
          </cell>
          <cell r="I31">
            <v>0.40491204779289747</v>
          </cell>
          <cell r="J31">
            <v>4880</v>
          </cell>
          <cell r="K31">
            <v>2.783911955361569E-3</v>
          </cell>
          <cell r="L31">
            <v>2.4207915435818885E-3</v>
          </cell>
          <cell r="M31">
            <v>0.52721539993362099</v>
          </cell>
          <cell r="N31">
            <v>0.30243942914039162</v>
          </cell>
        </row>
        <row r="32">
          <cell r="A32" t="str">
            <v>Archuleta</v>
          </cell>
          <cell r="B32">
            <v>12908</v>
          </cell>
          <cell r="C32">
            <v>9890</v>
          </cell>
          <cell r="D32">
            <v>5515</v>
          </cell>
          <cell r="E32">
            <v>9413</v>
          </cell>
          <cell r="F32">
            <v>3018</v>
          </cell>
          <cell r="G32">
            <v>7393</v>
          </cell>
          <cell r="H32">
            <v>3495</v>
          </cell>
          <cell r="I32">
            <v>0.2338084908583824</v>
          </cell>
          <cell r="J32">
            <v>3018</v>
          </cell>
          <cell r="K32">
            <v>1.721689811737954E-3</v>
          </cell>
          <cell r="L32">
            <v>2.2608429180687602E-3</v>
          </cell>
          <cell r="M32">
            <v>0.57274558413387044</v>
          </cell>
          <cell r="N32">
            <v>0.27076231794236133</v>
          </cell>
        </row>
        <row r="33">
          <cell r="A33" t="str">
            <v>Moffat</v>
          </cell>
          <cell r="B33">
            <v>13060</v>
          </cell>
          <cell r="C33">
            <v>10597</v>
          </cell>
          <cell r="D33">
            <v>6326</v>
          </cell>
          <cell r="E33">
            <v>8853</v>
          </cell>
          <cell r="F33">
            <v>2463</v>
          </cell>
          <cell r="G33">
            <v>6734</v>
          </cell>
          <cell r="H33">
            <v>4207</v>
          </cell>
          <cell r="I33">
            <v>0.18859111791730473</v>
          </cell>
          <cell r="J33">
            <v>2463</v>
          </cell>
          <cell r="K33">
            <v>1.40507687419171E-3</v>
          </cell>
          <cell r="L33">
            <v>1.2806607311581294E-3</v>
          </cell>
          <cell r="M33">
            <v>0.51562021439509953</v>
          </cell>
          <cell r="N33">
            <v>0.32212863705972433</v>
          </cell>
        </row>
        <row r="34">
          <cell r="A34" t="str">
            <v>Las Animas</v>
          </cell>
          <cell r="B34">
            <v>14179</v>
          </cell>
          <cell r="C34">
            <v>7471</v>
          </cell>
          <cell r="D34">
            <v>6240</v>
          </cell>
          <cell r="E34">
            <v>10480</v>
          </cell>
          <cell r="F34">
            <v>6708</v>
          </cell>
          <cell r="G34">
            <v>7939</v>
          </cell>
          <cell r="H34">
            <v>3699</v>
          </cell>
          <cell r="I34">
            <v>0.47309401227166936</v>
          </cell>
          <cell r="J34">
            <v>6708</v>
          </cell>
          <cell r="K34">
            <v>3.8267379910994683E-3</v>
          </cell>
          <cell r="L34">
            <v>3.830877871582602E-3</v>
          </cell>
          <cell r="M34">
            <v>0.55991254672402846</v>
          </cell>
          <cell r="N34">
            <v>0.26087876436984275</v>
          </cell>
        </row>
        <row r="35">
          <cell r="A35" t="str">
            <v>Grand</v>
          </cell>
          <cell r="B35">
            <v>15066</v>
          </cell>
          <cell r="C35">
            <v>13198</v>
          </cell>
          <cell r="D35">
            <v>7668</v>
          </cell>
          <cell r="E35">
            <v>11084</v>
          </cell>
          <cell r="F35">
            <v>1868</v>
          </cell>
          <cell r="G35">
            <v>7398</v>
          </cell>
          <cell r="H35">
            <v>3982</v>
          </cell>
          <cell r="I35">
            <v>0.12398778707022434</v>
          </cell>
          <cell r="J35">
            <v>1868</v>
          </cell>
          <cell r="K35">
            <v>1.0656449861916827E-3</v>
          </cell>
          <cell r="L35">
            <v>9.9665678821235439E-4</v>
          </cell>
          <cell r="M35">
            <v>0.49103942652329752</v>
          </cell>
          <cell r="N35">
            <v>0.26430373025355103</v>
          </cell>
        </row>
        <row r="36">
          <cell r="A36" t="str">
            <v>Alamosa</v>
          </cell>
          <cell r="B36">
            <v>16444</v>
          </cell>
          <cell r="C36">
            <v>7940</v>
          </cell>
          <cell r="D36">
            <v>7095</v>
          </cell>
          <cell r="E36">
            <v>11575</v>
          </cell>
          <cell r="F36">
            <v>8504</v>
          </cell>
          <cell r="G36">
            <v>9349</v>
          </cell>
          <cell r="H36">
            <v>4869</v>
          </cell>
          <cell r="I36">
            <v>0.51714911213816595</v>
          </cell>
          <cell r="J36">
            <v>8504</v>
          </cell>
          <cell r="K36">
            <v>4.8513088664743406E-3</v>
          </cell>
          <cell r="L36">
            <v>4.4608577571801132E-3</v>
          </cell>
          <cell r="M36">
            <v>0.56853563609827296</v>
          </cell>
          <cell r="N36">
            <v>0.29609584042811971</v>
          </cell>
        </row>
        <row r="37">
          <cell r="A37" t="str">
            <v>Gunnison</v>
          </cell>
          <cell r="B37">
            <v>16537</v>
          </cell>
          <cell r="C37">
            <v>14418</v>
          </cell>
          <cell r="D37">
            <v>8474</v>
          </cell>
          <cell r="E37">
            <v>12826</v>
          </cell>
          <cell r="F37">
            <v>2119</v>
          </cell>
          <cell r="G37">
            <v>8063</v>
          </cell>
          <cell r="H37">
            <v>3711</v>
          </cell>
          <cell r="I37">
            <v>0.12813690512184797</v>
          </cell>
          <cell r="J37">
            <v>2119</v>
          </cell>
          <cell r="K37">
            <v>1.2088339002891732E-3</v>
          </cell>
          <cell r="L37">
            <v>1.1386482799552575E-3</v>
          </cell>
          <cell r="M37">
            <v>0.48757332043296847</v>
          </cell>
          <cell r="N37">
            <v>0.22440587772872952</v>
          </cell>
        </row>
        <row r="38">
          <cell r="A38" t="str">
            <v>Park</v>
          </cell>
          <cell r="B38">
            <v>17392</v>
          </cell>
          <cell r="C38">
            <v>15507</v>
          </cell>
          <cell r="D38">
            <v>8664</v>
          </cell>
          <cell r="E38">
            <v>12653</v>
          </cell>
          <cell r="F38">
            <v>1885</v>
          </cell>
          <cell r="G38">
            <v>8728</v>
          </cell>
          <cell r="H38">
            <v>4739</v>
          </cell>
          <cell r="I38">
            <v>0.10838316467341307</v>
          </cell>
          <cell r="J38">
            <v>1885</v>
          </cell>
          <cell r="K38">
            <v>1.0753430401345405E-3</v>
          </cell>
          <cell r="L38">
            <v>1.0006185919123475E-3</v>
          </cell>
          <cell r="M38">
            <v>0.50183992640294384</v>
          </cell>
          <cell r="N38">
            <v>0.27248160073597055</v>
          </cell>
        </row>
        <row r="39">
          <cell r="A39" t="str">
            <v>Pitkin</v>
          </cell>
          <cell r="B39">
            <v>17909</v>
          </cell>
          <cell r="C39">
            <v>15317</v>
          </cell>
          <cell r="D39">
            <v>8557</v>
          </cell>
          <cell r="E39">
            <v>14271</v>
          </cell>
          <cell r="F39">
            <v>2592</v>
          </cell>
          <cell r="G39">
            <v>9352</v>
          </cell>
          <cell r="H39">
            <v>3638</v>
          </cell>
          <cell r="I39">
            <v>0.14473169914568093</v>
          </cell>
          <cell r="J39">
            <v>2592</v>
          </cell>
          <cell r="K39">
            <v>1.4786679894051612E-3</v>
          </cell>
          <cell r="L39">
            <v>1.5557489855987003E-3</v>
          </cell>
          <cell r="M39">
            <v>0.52219554413981795</v>
          </cell>
          <cell r="N39">
            <v>0.20313808699536545</v>
          </cell>
        </row>
        <row r="40">
          <cell r="A40" t="str">
            <v>Otero</v>
          </cell>
          <cell r="B40">
            <v>18325</v>
          </cell>
          <cell r="C40">
            <v>9864</v>
          </cell>
          <cell r="D40">
            <v>7954</v>
          </cell>
          <cell r="E40">
            <v>12744</v>
          </cell>
          <cell r="F40">
            <v>8461</v>
          </cell>
          <cell r="G40">
            <v>10371</v>
          </cell>
          <cell r="H40">
            <v>5581</v>
          </cell>
          <cell r="I40">
            <v>0.46171896316507505</v>
          </cell>
          <cell r="J40">
            <v>8461</v>
          </cell>
          <cell r="K40">
            <v>4.8267784947365238E-3</v>
          </cell>
          <cell r="L40">
            <v>4.4694651087408789E-3</v>
          </cell>
          <cell r="M40">
            <v>0.56594815825375167</v>
          </cell>
          <cell r="N40">
            <v>0.30455661664392908</v>
          </cell>
        </row>
        <row r="41">
          <cell r="A41" t="str">
            <v>Chaffee</v>
          </cell>
          <cell r="B41">
            <v>19164</v>
          </cell>
          <cell r="C41">
            <v>16276</v>
          </cell>
          <cell r="D41">
            <v>9393</v>
          </cell>
          <cell r="E41">
            <v>14240</v>
          </cell>
          <cell r="F41">
            <v>2888</v>
          </cell>
          <cell r="G41">
            <v>9771</v>
          </cell>
          <cell r="H41">
            <v>4924</v>
          </cell>
          <cell r="I41">
            <v>0.15069922771863911</v>
          </cell>
          <cell r="J41">
            <v>2888</v>
          </cell>
          <cell r="K41">
            <v>1.6475282227631581E-3</v>
          </cell>
          <cell r="L41">
            <v>1.6023106588036054E-3</v>
          </cell>
          <cell r="M41">
            <v>0.5098622417031935</v>
          </cell>
          <cell r="N41">
            <v>0.25694009601335838</v>
          </cell>
        </row>
        <row r="42">
          <cell r="A42" t="str">
            <v>Logan</v>
          </cell>
          <cell r="B42">
            <v>21689</v>
          </cell>
          <cell r="C42">
            <v>16870</v>
          </cell>
          <cell r="D42">
            <v>10816</v>
          </cell>
          <cell r="E42">
            <v>15351</v>
          </cell>
          <cell r="F42">
            <v>4819</v>
          </cell>
          <cell r="G42">
            <v>10873</v>
          </cell>
          <cell r="H42">
            <v>6338</v>
          </cell>
          <cell r="I42">
            <v>0.22218636175019596</v>
          </cell>
          <cell r="J42">
            <v>4819</v>
          </cell>
          <cell r="K42">
            <v>2.7491130559195495E-3</v>
          </cell>
          <cell r="L42">
            <v>2.4423387999619839E-3</v>
          </cell>
          <cell r="M42">
            <v>0.50131403015353404</v>
          </cell>
          <cell r="N42">
            <v>0.29222186361750196</v>
          </cell>
        </row>
        <row r="43">
          <cell r="A43" t="str">
            <v>Teller</v>
          </cell>
          <cell r="B43">
            <v>24113</v>
          </cell>
          <cell r="C43">
            <v>21495</v>
          </cell>
          <cell r="D43">
            <v>11545</v>
          </cell>
          <cell r="E43">
            <v>16617</v>
          </cell>
          <cell r="F43">
            <v>2618</v>
          </cell>
          <cell r="G43">
            <v>12568</v>
          </cell>
          <cell r="H43">
            <v>7496</v>
          </cell>
          <cell r="I43">
            <v>0.10857213950980799</v>
          </cell>
          <cell r="J43">
            <v>2618</v>
          </cell>
          <cell r="K43">
            <v>1.4935003072001204E-3</v>
          </cell>
          <cell r="L43">
            <v>1.3953336627769198E-3</v>
          </cell>
          <cell r="M43">
            <v>0.52121262389582379</v>
          </cell>
          <cell r="N43">
            <v>0.31086965537262057</v>
          </cell>
        </row>
        <row r="44">
          <cell r="A44" t="str">
            <v>Routt</v>
          </cell>
          <cell r="B44">
            <v>24874</v>
          </cell>
          <cell r="C44">
            <v>22270</v>
          </cell>
          <cell r="D44">
            <v>12244</v>
          </cell>
          <cell r="E44">
            <v>18970</v>
          </cell>
          <cell r="F44">
            <v>2604</v>
          </cell>
          <cell r="G44">
            <v>12630</v>
          </cell>
          <cell r="H44">
            <v>5904</v>
          </cell>
          <cell r="I44">
            <v>0.10468762563319128</v>
          </cell>
          <cell r="J44">
            <v>2604</v>
          </cell>
          <cell r="K44">
            <v>1.4855136745412962E-3</v>
          </cell>
          <cell r="L44">
            <v>1.444897662180997E-3</v>
          </cell>
          <cell r="M44">
            <v>0.50775910589370432</v>
          </cell>
          <cell r="N44">
            <v>0.23735627562917103</v>
          </cell>
        </row>
        <row r="45">
          <cell r="A45" t="str">
            <v>Elbert</v>
          </cell>
          <cell r="B45">
            <v>25162</v>
          </cell>
          <cell r="C45">
            <v>22374</v>
          </cell>
          <cell r="D45">
            <v>11861</v>
          </cell>
          <cell r="E45">
            <v>17237</v>
          </cell>
          <cell r="F45">
            <v>2788</v>
          </cell>
          <cell r="G45">
            <v>13301</v>
          </cell>
          <cell r="H45">
            <v>7925</v>
          </cell>
          <cell r="I45">
            <v>0.11080200302042763</v>
          </cell>
          <cell r="J45">
            <v>2788</v>
          </cell>
          <cell r="K45">
            <v>1.5904808466286997E-3</v>
          </cell>
          <cell r="L45">
            <v>1.668226763110029E-3</v>
          </cell>
          <cell r="M45">
            <v>0.52861457753755658</v>
          </cell>
          <cell r="N45">
            <v>0.3149590652571338</v>
          </cell>
        </row>
        <row r="46">
          <cell r="A46" t="str">
            <v>Montezuma</v>
          </cell>
          <cell r="B46">
            <v>25909</v>
          </cell>
          <cell r="C46">
            <v>18827</v>
          </cell>
          <cell r="D46">
            <v>10360</v>
          </cell>
          <cell r="E46">
            <v>18029</v>
          </cell>
          <cell r="F46">
            <v>7082</v>
          </cell>
          <cell r="G46">
            <v>15549</v>
          </cell>
          <cell r="H46">
            <v>7880</v>
          </cell>
          <cell r="I46">
            <v>0.27334130996950867</v>
          </cell>
          <cell r="J46">
            <v>7082</v>
          </cell>
          <cell r="K46">
            <v>4.0400951778423429E-3</v>
          </cell>
          <cell r="L46">
            <v>3.780495055942387E-3</v>
          </cell>
          <cell r="M46">
            <v>0.60013894785595734</v>
          </cell>
          <cell r="N46">
            <v>0.30414141804006328</v>
          </cell>
        </row>
        <row r="47">
          <cell r="A47" t="str">
            <v>Morgan</v>
          </cell>
          <cell r="B47">
            <v>28257</v>
          </cell>
          <cell r="C47">
            <v>16593</v>
          </cell>
          <cell r="D47">
            <v>12342</v>
          </cell>
          <cell r="E47">
            <v>19441</v>
          </cell>
          <cell r="F47">
            <v>11664</v>
          </cell>
          <cell r="G47">
            <v>15915</v>
          </cell>
          <cell r="H47">
            <v>8816</v>
          </cell>
          <cell r="I47">
            <v>0.41278267331988533</v>
          </cell>
          <cell r="J47">
            <v>11664</v>
          </cell>
          <cell r="K47">
            <v>6.6540059523232256E-3</v>
          </cell>
          <cell r="L47">
            <v>6.444506693730043E-3</v>
          </cell>
          <cell r="M47">
            <v>0.5632232721095658</v>
          </cell>
          <cell r="N47">
            <v>0.31199348833917262</v>
          </cell>
        </row>
        <row r="48">
          <cell r="A48" t="str">
            <v>Delta</v>
          </cell>
          <cell r="B48">
            <v>30346</v>
          </cell>
          <cell r="C48">
            <v>24709</v>
          </cell>
          <cell r="D48">
            <v>14407</v>
          </cell>
          <cell r="E48">
            <v>20992</v>
          </cell>
          <cell r="F48">
            <v>5637</v>
          </cell>
          <cell r="G48">
            <v>15939</v>
          </cell>
          <cell r="H48">
            <v>9354</v>
          </cell>
          <cell r="I48">
            <v>0.1857575957292559</v>
          </cell>
          <cell r="J48">
            <v>5637</v>
          </cell>
          <cell r="K48">
            <v>3.2157605926994193E-3</v>
          </cell>
          <cell r="L48">
            <v>2.9463812086215958E-3</v>
          </cell>
          <cell r="M48">
            <v>0.52524220655111054</v>
          </cell>
          <cell r="N48">
            <v>0.30824490871943583</v>
          </cell>
        </row>
        <row r="49">
          <cell r="A49" t="str">
            <v>Summit</v>
          </cell>
          <cell r="B49">
            <v>30429</v>
          </cell>
          <cell r="C49">
            <v>25032</v>
          </cell>
          <cell r="D49">
            <v>14842</v>
          </cell>
          <cell r="E49">
            <v>24161</v>
          </cell>
          <cell r="F49">
            <v>5397</v>
          </cell>
          <cell r="G49">
            <v>15587</v>
          </cell>
          <cell r="H49">
            <v>6268</v>
          </cell>
          <cell r="I49">
            <v>0.17736369910282954</v>
          </cell>
          <cell r="J49">
            <v>5397</v>
          </cell>
          <cell r="K49">
            <v>3.0788468899767192E-3</v>
          </cell>
          <cell r="L49">
            <v>3.423195415717852E-3</v>
          </cell>
          <cell r="M49">
            <v>0.51224161162049364</v>
          </cell>
          <cell r="N49">
            <v>0.20598770909329917</v>
          </cell>
        </row>
        <row r="50">
          <cell r="A50" t="str">
            <v>Montrose</v>
          </cell>
          <cell r="B50">
            <v>41268</v>
          </cell>
          <cell r="C50">
            <v>31394</v>
          </cell>
          <cell r="D50">
            <v>19135</v>
          </cell>
          <cell r="E50">
            <v>28809</v>
          </cell>
          <cell r="F50">
            <v>9874</v>
          </cell>
          <cell r="G50">
            <v>22133</v>
          </cell>
          <cell r="H50">
            <v>12459</v>
          </cell>
          <cell r="I50">
            <v>0.23926529029756713</v>
          </cell>
          <cell r="J50">
            <v>9874</v>
          </cell>
          <cell r="K50">
            <v>5.6328579195164211E-3</v>
          </cell>
          <cell r="L50">
            <v>5.217785831451824E-3</v>
          </cell>
          <cell r="M50">
            <v>0.53632354366579427</v>
          </cell>
          <cell r="N50">
            <v>0.30190462343704566</v>
          </cell>
        </row>
        <row r="51">
          <cell r="A51" t="str">
            <v>Fremont</v>
          </cell>
          <cell r="B51">
            <v>47002</v>
          </cell>
          <cell r="C51">
            <v>37224</v>
          </cell>
          <cell r="D51">
            <v>23482</v>
          </cell>
          <cell r="E51">
            <v>33542</v>
          </cell>
          <cell r="F51">
            <v>9778</v>
          </cell>
          <cell r="G51">
            <v>23520</v>
          </cell>
          <cell r="H51">
            <v>13460</v>
          </cell>
          <cell r="I51">
            <v>0.20803370069358751</v>
          </cell>
          <cell r="J51">
            <v>9778</v>
          </cell>
          <cell r="K51">
            <v>5.5780924384273411E-3</v>
          </cell>
          <cell r="L51">
            <v>5.2139339484752268E-3</v>
          </cell>
          <cell r="M51">
            <v>0.50040423811752688</v>
          </cell>
          <cell r="N51">
            <v>0.28637079273222416</v>
          </cell>
        </row>
        <row r="52">
          <cell r="A52" t="str">
            <v>Eagle</v>
          </cell>
          <cell r="B52">
            <v>54357</v>
          </cell>
          <cell r="C52">
            <v>36501</v>
          </cell>
          <cell r="D52">
            <v>25633</v>
          </cell>
          <cell r="E52">
            <v>40208</v>
          </cell>
          <cell r="F52">
            <v>17856</v>
          </cell>
          <cell r="G52">
            <v>28724</v>
          </cell>
          <cell r="H52">
            <v>14149</v>
          </cell>
          <cell r="I52">
            <v>0.32849495005243112</v>
          </cell>
          <cell r="J52">
            <v>17856</v>
          </cell>
          <cell r="K52">
            <v>1.0186379482568888E-2</v>
          </cell>
          <cell r="L52">
            <v>1.0527270697567093E-2</v>
          </cell>
          <cell r="M52">
            <v>0.5284324006107769</v>
          </cell>
          <cell r="N52">
            <v>0.26029766175469582</v>
          </cell>
        </row>
        <row r="53">
          <cell r="A53" t="str">
            <v>La Plata</v>
          </cell>
          <cell r="B53">
            <v>55101</v>
          </cell>
          <cell r="C53">
            <v>43382</v>
          </cell>
          <cell r="D53">
            <v>24602</v>
          </cell>
          <cell r="E53">
            <v>41153</v>
          </cell>
          <cell r="F53">
            <v>11719</v>
          </cell>
          <cell r="G53">
            <v>30499</v>
          </cell>
          <cell r="H53">
            <v>13948</v>
          </cell>
          <cell r="I53">
            <v>0.2126821654779405</v>
          </cell>
          <cell r="J53">
            <v>11719</v>
          </cell>
          <cell r="K53">
            <v>6.6853820091971779E-3</v>
          </cell>
          <cell r="L53">
            <v>6.5202686207985368E-3</v>
          </cell>
          <cell r="M53">
            <v>0.55351082557485343</v>
          </cell>
          <cell r="N53">
            <v>0.25313515181212681</v>
          </cell>
        </row>
        <row r="54">
          <cell r="A54" t="str">
            <v>Garfield</v>
          </cell>
          <cell r="B54">
            <v>58538</v>
          </cell>
          <cell r="C54">
            <v>40078</v>
          </cell>
          <cell r="D54">
            <v>26058</v>
          </cell>
          <cell r="E54">
            <v>40676</v>
          </cell>
          <cell r="F54">
            <v>18460</v>
          </cell>
          <cell r="G54">
            <v>32480</v>
          </cell>
          <cell r="H54">
            <v>17862</v>
          </cell>
          <cell r="I54">
            <v>0.31535071235778467</v>
          </cell>
          <cell r="J54">
            <v>18460</v>
          </cell>
          <cell r="K54">
            <v>1.0530945634421017E-2</v>
          </cell>
          <cell r="L54">
            <v>1.1413538202012624E-2</v>
          </cell>
          <cell r="M54">
            <v>0.55485325771293859</v>
          </cell>
          <cell r="N54">
            <v>0.30513512590112407</v>
          </cell>
        </row>
        <row r="55">
          <cell r="A55" t="str">
            <v>Broomfield</v>
          </cell>
          <cell r="B55">
            <v>66120</v>
          </cell>
          <cell r="C55">
            <v>50996</v>
          </cell>
          <cell r="D55">
            <v>28421</v>
          </cell>
          <cell r="E55">
            <v>46229</v>
          </cell>
          <cell r="F55">
            <v>15124</v>
          </cell>
          <cell r="G55">
            <v>37699</v>
          </cell>
          <cell r="H55">
            <v>19891</v>
          </cell>
          <cell r="I55">
            <v>0.22873563218390805</v>
          </cell>
          <cell r="J55">
            <v>15124</v>
          </cell>
          <cell r="K55">
            <v>8.6278451665754863E-3</v>
          </cell>
          <cell r="L55">
            <v>8.3363271127304961E-3</v>
          </cell>
          <cell r="M55">
            <v>0.5701603145795523</v>
          </cell>
          <cell r="N55">
            <v>0.30083182093163946</v>
          </cell>
        </row>
        <row r="56">
          <cell r="A56" t="str">
            <v>Mesa</v>
          </cell>
          <cell r="B56">
            <v>149998</v>
          </cell>
          <cell r="C56">
            <v>122306</v>
          </cell>
          <cell r="D56">
            <v>69563</v>
          </cell>
          <cell r="E56">
            <v>104966</v>
          </cell>
          <cell r="F56">
            <v>27692</v>
          </cell>
          <cell r="G56">
            <v>80435</v>
          </cell>
          <cell r="H56">
            <v>45032</v>
          </cell>
          <cell r="I56">
            <v>0.18461579487726504</v>
          </cell>
          <cell r="J56">
            <v>27692</v>
          </cell>
          <cell r="K56">
            <v>1.5797559399154216E-2</v>
          </cell>
          <cell r="L56">
            <v>1.4652451059192877E-2</v>
          </cell>
          <cell r="M56">
            <v>0.5362404832064428</v>
          </cell>
          <cell r="N56">
            <v>0.30021733623114977</v>
          </cell>
        </row>
        <row r="57">
          <cell r="A57" t="str">
            <v>Pueblo</v>
          </cell>
          <cell r="B57">
            <v>164685</v>
          </cell>
          <cell r="C57">
            <v>86059</v>
          </cell>
          <cell r="D57">
            <v>63910</v>
          </cell>
          <cell r="E57">
            <v>112666</v>
          </cell>
          <cell r="F57">
            <v>78626</v>
          </cell>
          <cell r="G57">
            <v>100775</v>
          </cell>
          <cell r="H57">
            <v>52019</v>
          </cell>
          <cell r="I57">
            <v>0.47743267449980265</v>
          </cell>
          <cell r="J57">
            <v>78626</v>
          </cell>
          <cell r="K57">
            <v>4.4854069959479249E-2</v>
          </cell>
          <cell r="L57">
            <v>4.957795747288498E-2</v>
          </cell>
          <cell r="M57">
            <v>0.61192579773506994</v>
          </cell>
          <cell r="N57">
            <v>0.31586969062148951</v>
          </cell>
        </row>
        <row r="58">
          <cell r="A58" t="str">
            <v>Weld</v>
          </cell>
          <cell r="B58">
            <v>295123</v>
          </cell>
          <cell r="C58">
            <v>194813</v>
          </cell>
          <cell r="D58">
            <v>134066</v>
          </cell>
          <cell r="E58">
            <v>199842</v>
          </cell>
          <cell r="F58">
            <v>100310</v>
          </cell>
          <cell r="G58">
            <v>161057</v>
          </cell>
          <cell r="H58">
            <v>95281</v>
          </cell>
          <cell r="I58">
            <v>0.33989218054844927</v>
          </cell>
          <cell r="J58">
            <v>100310</v>
          </cell>
          <cell r="K58">
            <v>5.7224223000475208E-2</v>
          </cell>
          <cell r="L58">
            <v>5.8338985657209595E-2</v>
          </cell>
          <cell r="M58">
            <v>0.5457283912131552</v>
          </cell>
          <cell r="N58">
            <v>0.32285182788193395</v>
          </cell>
        </row>
        <row r="59">
          <cell r="A59" t="str">
            <v>Boulder</v>
          </cell>
          <cell r="B59">
            <v>321030</v>
          </cell>
          <cell r="C59">
            <v>249803</v>
          </cell>
          <cell r="D59">
            <v>143068</v>
          </cell>
          <cell r="E59">
            <v>243835</v>
          </cell>
          <cell r="F59">
            <v>71227</v>
          </cell>
          <cell r="G59">
            <v>177962</v>
          </cell>
          <cell r="H59">
            <v>77195</v>
          </cell>
          <cell r="I59">
            <v>0.22187023019655483</v>
          </cell>
          <cell r="J59">
            <v>71227</v>
          </cell>
          <cell r="K59">
            <v>4.0633134599290674E-2</v>
          </cell>
          <cell r="L59">
            <v>3.8286595223394414E-2</v>
          </cell>
          <cell r="M59">
            <v>0.55434694576830823</v>
          </cell>
          <cell r="N59">
            <v>0.24046039310967823</v>
          </cell>
        </row>
        <row r="60">
          <cell r="A60" t="str">
            <v>Douglas</v>
          </cell>
          <cell r="B60">
            <v>328614</v>
          </cell>
          <cell r="C60">
            <v>271949</v>
          </cell>
          <cell r="D60">
            <v>145915</v>
          </cell>
          <cell r="E60">
            <v>219525</v>
          </cell>
          <cell r="F60">
            <v>56665</v>
          </cell>
          <cell r="G60">
            <v>182699</v>
          </cell>
          <cell r="H60">
            <v>109089</v>
          </cell>
          <cell r="I60">
            <v>0.1724363538984949</v>
          </cell>
          <cell r="J60">
            <v>56665.000000000007</v>
          </cell>
          <cell r="K60">
            <v>3.2325895686590847E-2</v>
          </cell>
          <cell r="L60">
            <v>3.1566214528357839E-2</v>
          </cell>
          <cell r="M60">
            <v>0.55596840061592023</v>
          </cell>
          <cell r="N60">
            <v>0.33196698862495205</v>
          </cell>
        </row>
        <row r="61">
          <cell r="A61" t="str">
            <v>Larimer</v>
          </cell>
          <cell r="B61">
            <v>338161</v>
          </cell>
          <cell r="C61">
            <v>280122</v>
          </cell>
          <cell r="D61">
            <v>154187</v>
          </cell>
          <cell r="E61">
            <v>249296</v>
          </cell>
          <cell r="F61">
            <v>58039</v>
          </cell>
          <cell r="G61">
            <v>183974</v>
          </cell>
          <cell r="H61">
            <v>88865</v>
          </cell>
          <cell r="I61">
            <v>0.17163126439772772</v>
          </cell>
          <cell r="J61">
            <v>58039</v>
          </cell>
          <cell r="K61">
            <v>3.3109726634678302E-2</v>
          </cell>
          <cell r="L61">
            <v>3.3080036675999527E-2</v>
          </cell>
          <cell r="M61">
            <v>0.54404263058129121</v>
          </cell>
          <cell r="N61">
            <v>0.26278902652878361</v>
          </cell>
        </row>
        <row r="62">
          <cell r="A62" t="str">
            <v>Adams</v>
          </cell>
          <cell r="B62">
            <v>497115</v>
          </cell>
          <cell r="C62">
            <v>251342</v>
          </cell>
          <cell r="D62">
            <v>205799</v>
          </cell>
          <cell r="E62">
            <v>334468</v>
          </cell>
          <cell r="F62">
            <v>245773</v>
          </cell>
          <cell r="G62">
            <v>291316</v>
          </cell>
          <cell r="H62">
            <v>162647</v>
          </cell>
          <cell r="I62">
            <v>0.49439868038582624</v>
          </cell>
          <cell r="J62">
            <v>245773</v>
          </cell>
          <cell r="K62">
            <v>0.1402070477469424</v>
          </cell>
          <cell r="L62">
            <v>0.13785028065476101</v>
          </cell>
          <cell r="M62">
            <v>0.58601329672208646</v>
          </cell>
          <cell r="N62">
            <v>0.32718183921225469</v>
          </cell>
        </row>
        <row r="63">
          <cell r="A63" t="str">
            <v>Jefferson</v>
          </cell>
          <cell r="B63">
            <v>570427</v>
          </cell>
          <cell r="C63">
            <v>446868</v>
          </cell>
          <cell r="D63">
            <v>257593</v>
          </cell>
          <cell r="E63">
            <v>416088</v>
          </cell>
          <cell r="F63">
            <v>123559</v>
          </cell>
          <cell r="G63">
            <v>312834</v>
          </cell>
          <cell r="H63">
            <v>154339</v>
          </cell>
          <cell r="I63">
            <v>0.21660790951339962</v>
          </cell>
          <cell r="J63">
            <v>123559</v>
          </cell>
          <cell r="K63">
            <v>7.048716747797544E-2</v>
          </cell>
          <cell r="L63">
            <v>6.6514075370521744E-2</v>
          </cell>
          <cell r="M63">
            <v>0.54842074445985201</v>
          </cell>
          <cell r="N63">
            <v>0.27056748716312518</v>
          </cell>
        </row>
        <row r="64">
          <cell r="A64" t="str">
            <v>Arapahoe</v>
          </cell>
          <cell r="B64">
            <v>636671</v>
          </cell>
          <cell r="C64">
            <v>386645</v>
          </cell>
          <cell r="D64">
            <v>225617</v>
          </cell>
          <cell r="E64">
            <v>442583</v>
          </cell>
          <cell r="F64">
            <v>250026</v>
          </cell>
          <cell r="G64">
            <v>411054</v>
          </cell>
          <cell r="H64">
            <v>194088</v>
          </cell>
          <cell r="I64">
            <v>0.39270832188053173</v>
          </cell>
          <cell r="J64">
            <v>250026.00000000003</v>
          </cell>
          <cell r="K64">
            <v>0.14263327265394093</v>
          </cell>
          <cell r="L64">
            <v>0.14556896415426618</v>
          </cell>
          <cell r="M64">
            <v>0.64563016063241452</v>
          </cell>
          <cell r="N64">
            <v>0.30484818689715726</v>
          </cell>
        </row>
        <row r="65">
          <cell r="A65" t="str">
            <v>El Paso</v>
          </cell>
          <cell r="B65">
            <v>688153</v>
          </cell>
          <cell r="C65">
            <v>477996</v>
          </cell>
          <cell r="D65">
            <v>276328</v>
          </cell>
          <cell r="E65">
            <v>405831</v>
          </cell>
          <cell r="F65">
            <v>210157</v>
          </cell>
          <cell r="G65">
            <v>411825</v>
          </cell>
          <cell r="H65">
            <v>282322</v>
          </cell>
          <cell r="I65">
            <v>0.30539284141753359</v>
          </cell>
          <cell r="J65">
            <v>210157</v>
          </cell>
          <cell r="K65">
            <v>0.1198890542628937</v>
          </cell>
          <cell r="L65">
            <v>0.12515607054321159</v>
          </cell>
          <cell r="M65">
            <v>0.59844976335204525</v>
          </cell>
          <cell r="N65">
            <v>0.41026050892752047</v>
          </cell>
        </row>
        <row r="66">
          <cell r="A66" t="str">
            <v>Denver</v>
          </cell>
          <cell r="B66">
            <v>693417</v>
          </cell>
          <cell r="C66">
            <v>372710</v>
          </cell>
          <cell r="D66">
            <v>267421</v>
          </cell>
          <cell r="E66">
            <v>523553</v>
          </cell>
          <cell r="F66">
            <v>320707</v>
          </cell>
          <cell r="G66">
            <v>425996</v>
          </cell>
          <cell r="H66">
            <v>169864</v>
          </cell>
          <cell r="I66">
            <v>0.46250236149387741</v>
          </cell>
          <cell r="J66">
            <v>320707</v>
          </cell>
          <cell r="K66">
            <v>0.18295492857953743</v>
          </cell>
          <cell r="L66">
            <v>0.18256468812913695</v>
          </cell>
          <cell r="M66">
            <v>0.61434317301133368</v>
          </cell>
          <cell r="N66">
            <v>0.24496659297363635</v>
          </cell>
        </row>
      </sheetData>
      <sheetData sheetId="24"/>
      <sheetData sheetId="25"/>
      <sheetData sheetId="26"/>
      <sheetData sheetId="27">
        <row r="3">
          <cell r="A3" t="str">
            <v>COUNTY NAME</v>
          </cell>
          <cell r="B3" t="str">
            <v>STATE NAME</v>
          </cell>
          <cell r="C3" t="str">
            <v>POVERTY</v>
          </cell>
          <cell r="D3" t="str">
            <v>UNEMPLOYMENT</v>
          </cell>
          <cell r="E3" t="str">
            <v>POPULATION LOSS</v>
          </cell>
          <cell r="F3" t="str">
            <v>REMOTE RURAL</v>
          </cell>
          <cell r="G3" t="str">
            <v>DISTRESSED</v>
          </cell>
          <cell r="H3" t="str">
            <v>UNDER-SERVED</v>
          </cell>
          <cell r="I3" t="str">
            <v>STATE CODE</v>
          </cell>
          <cell r="J3" t="str">
            <v>COUNTY CODE</v>
          </cell>
          <cell r="K3" t="str">
            <v>TRACT CODE</v>
          </cell>
        </row>
        <row r="4">
          <cell r="A4" t="str">
            <v>ALAMOSA</v>
          </cell>
          <cell r="B4" t="str">
            <v>CO</v>
          </cell>
          <cell r="C4" t="str">
            <v xml:space="preserve"> </v>
          </cell>
          <cell r="D4" t="str">
            <v xml:space="preserve"> </v>
          </cell>
          <cell r="E4" t="str">
            <v xml:space="preserve"> </v>
          </cell>
          <cell r="F4" t="str">
            <v>X</v>
          </cell>
          <cell r="G4" t="str">
            <v>X</v>
          </cell>
          <cell r="H4" t="str">
            <v>X</v>
          </cell>
          <cell r="I4">
            <v>8</v>
          </cell>
          <cell r="J4">
            <v>3</v>
          </cell>
          <cell r="K4">
            <v>9600</v>
          </cell>
        </row>
        <row r="5">
          <cell r="A5" t="str">
            <v>ARCHULETA</v>
          </cell>
          <cell r="B5" t="str">
            <v>CO</v>
          </cell>
          <cell r="C5" t="str">
            <v xml:space="preserve"> </v>
          </cell>
          <cell r="D5" t="str">
            <v xml:space="preserve"> </v>
          </cell>
          <cell r="E5" t="str">
            <v xml:space="preserve"> </v>
          </cell>
          <cell r="F5" t="str">
            <v>X</v>
          </cell>
          <cell r="G5" t="str">
            <v xml:space="preserve"> </v>
          </cell>
          <cell r="H5" t="str">
            <v>X</v>
          </cell>
          <cell r="I5">
            <v>8</v>
          </cell>
          <cell r="J5">
            <v>7</v>
          </cell>
          <cell r="K5">
            <v>9404</v>
          </cell>
        </row>
        <row r="6">
          <cell r="A6" t="str">
            <v>CHAFFEE</v>
          </cell>
          <cell r="B6" t="str">
            <v>CO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>X</v>
          </cell>
          <cell r="G6" t="str">
            <v xml:space="preserve"> </v>
          </cell>
          <cell r="H6" t="str">
            <v>X</v>
          </cell>
          <cell r="I6">
            <v>8</v>
          </cell>
          <cell r="J6">
            <v>15</v>
          </cell>
          <cell r="K6">
            <v>2</v>
          </cell>
        </row>
        <row r="7">
          <cell r="A7" t="str">
            <v>CHEYENNE</v>
          </cell>
          <cell r="B7" t="str">
            <v>CO</v>
          </cell>
          <cell r="C7" t="str">
            <v xml:space="preserve"> </v>
          </cell>
          <cell r="D7" t="str">
            <v xml:space="preserve"> </v>
          </cell>
          <cell r="E7" t="str">
            <v>X</v>
          </cell>
          <cell r="F7" t="str">
            <v>X</v>
          </cell>
          <cell r="G7" t="str">
            <v>X</v>
          </cell>
          <cell r="H7" t="str">
            <v>X</v>
          </cell>
          <cell r="I7">
            <v>8</v>
          </cell>
          <cell r="J7">
            <v>17</v>
          </cell>
          <cell r="K7">
            <v>9606</v>
          </cell>
        </row>
        <row r="8">
          <cell r="A8" t="str">
            <v>CONEJOS</v>
          </cell>
          <cell r="B8" t="str">
            <v>CO</v>
          </cell>
          <cell r="C8" t="str">
            <v>X</v>
          </cell>
          <cell r="D8" t="str">
            <v xml:space="preserve"> </v>
          </cell>
          <cell r="E8" t="str">
            <v xml:space="preserve"> </v>
          </cell>
          <cell r="F8" t="str">
            <v>X</v>
          </cell>
          <cell r="G8" t="str">
            <v>X</v>
          </cell>
          <cell r="H8" t="str">
            <v>X</v>
          </cell>
          <cell r="I8">
            <v>8</v>
          </cell>
          <cell r="J8">
            <v>21</v>
          </cell>
          <cell r="K8">
            <v>9749</v>
          </cell>
        </row>
        <row r="9">
          <cell r="A9" t="str">
            <v>GRAND</v>
          </cell>
          <cell r="B9" t="str">
            <v>CO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>X</v>
          </cell>
          <cell r="G9" t="str">
            <v xml:space="preserve"> </v>
          </cell>
          <cell r="H9" t="str">
            <v>X</v>
          </cell>
          <cell r="I9">
            <v>8</v>
          </cell>
          <cell r="J9">
            <v>49</v>
          </cell>
          <cell r="K9">
            <v>1</v>
          </cell>
        </row>
        <row r="10">
          <cell r="A10" t="str">
            <v>GUNNISON</v>
          </cell>
          <cell r="B10" t="str">
            <v>CO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X</v>
          </cell>
          <cell r="G10" t="str">
            <v xml:space="preserve"> </v>
          </cell>
          <cell r="H10" t="str">
            <v>X</v>
          </cell>
          <cell r="I10">
            <v>8</v>
          </cell>
          <cell r="J10">
            <v>51</v>
          </cell>
          <cell r="K10">
            <v>9636</v>
          </cell>
        </row>
        <row r="11">
          <cell r="A11" t="str">
            <v>HINSDALE</v>
          </cell>
          <cell r="B11" t="str">
            <v>CO</v>
          </cell>
          <cell r="C11" t="str">
            <v xml:space="preserve"> </v>
          </cell>
          <cell r="D11" t="str">
            <v xml:space="preserve"> </v>
          </cell>
          <cell r="E11" t="str">
            <v xml:space="preserve"> </v>
          </cell>
          <cell r="F11" t="str">
            <v>X</v>
          </cell>
          <cell r="G11" t="str">
            <v xml:space="preserve"> </v>
          </cell>
          <cell r="H11" t="str">
            <v>X</v>
          </cell>
          <cell r="I11">
            <v>8</v>
          </cell>
          <cell r="J11">
            <v>53</v>
          </cell>
          <cell r="K11">
            <v>9731</v>
          </cell>
        </row>
        <row r="12">
          <cell r="A12" t="str">
            <v>HUERFANO</v>
          </cell>
          <cell r="B12" t="str">
            <v>CO</v>
          </cell>
          <cell r="C12" t="str">
            <v>X</v>
          </cell>
          <cell r="D12" t="str">
            <v>X</v>
          </cell>
          <cell r="E12" t="str">
            <v>X</v>
          </cell>
          <cell r="F12" t="str">
            <v xml:space="preserve"> </v>
          </cell>
          <cell r="G12" t="str">
            <v>X</v>
          </cell>
          <cell r="H12" t="str">
            <v xml:space="preserve"> </v>
          </cell>
          <cell r="I12">
            <v>8</v>
          </cell>
          <cell r="J12">
            <v>55</v>
          </cell>
          <cell r="K12">
            <v>9609</v>
          </cell>
        </row>
        <row r="13">
          <cell r="A13" t="str">
            <v>JACKSON</v>
          </cell>
          <cell r="B13" t="str">
            <v>CO</v>
          </cell>
          <cell r="C13" t="str">
            <v xml:space="preserve"> </v>
          </cell>
          <cell r="D13" t="str">
            <v xml:space="preserve"> </v>
          </cell>
          <cell r="E13" t="str">
            <v>X</v>
          </cell>
          <cell r="F13" t="str">
            <v>X</v>
          </cell>
          <cell r="G13" t="str">
            <v>X</v>
          </cell>
          <cell r="H13" t="str">
            <v>X</v>
          </cell>
          <cell r="I13">
            <v>8</v>
          </cell>
          <cell r="J13">
            <v>57</v>
          </cell>
          <cell r="K13">
            <v>9556</v>
          </cell>
        </row>
        <row r="14">
          <cell r="A14" t="str">
            <v>KIOWA</v>
          </cell>
          <cell r="B14" t="str">
            <v>CO</v>
          </cell>
          <cell r="C14" t="str">
            <v xml:space="preserve"> </v>
          </cell>
          <cell r="D14" t="str">
            <v xml:space="preserve"> </v>
          </cell>
          <cell r="E14" t="str">
            <v>X</v>
          </cell>
          <cell r="F14" t="str">
            <v>X</v>
          </cell>
          <cell r="G14" t="str">
            <v>X</v>
          </cell>
          <cell r="H14" t="str">
            <v>X</v>
          </cell>
          <cell r="I14">
            <v>8</v>
          </cell>
          <cell r="J14">
            <v>61</v>
          </cell>
          <cell r="K14">
            <v>9601</v>
          </cell>
        </row>
        <row r="15">
          <cell r="A15" t="str">
            <v>KIT CARSON</v>
          </cell>
          <cell r="B15" t="str">
            <v>CO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>X</v>
          </cell>
          <cell r="G15" t="str">
            <v xml:space="preserve"> </v>
          </cell>
          <cell r="H15" t="str">
            <v>X</v>
          </cell>
          <cell r="I15">
            <v>8</v>
          </cell>
          <cell r="J15">
            <v>63</v>
          </cell>
          <cell r="K15">
            <v>9621</v>
          </cell>
        </row>
        <row r="16">
          <cell r="A16" t="str">
            <v>LAS ANIMAS</v>
          </cell>
          <cell r="B16" t="str">
            <v>CO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>X</v>
          </cell>
          <cell r="G16" t="str">
            <v>X</v>
          </cell>
          <cell r="H16" t="str">
            <v>X</v>
          </cell>
          <cell r="I16">
            <v>8</v>
          </cell>
          <cell r="J16">
            <v>71</v>
          </cell>
          <cell r="K16">
            <v>2</v>
          </cell>
        </row>
        <row r="17">
          <cell r="A17" t="str">
            <v>LINCOLN</v>
          </cell>
          <cell r="B17" t="str">
            <v>CO</v>
          </cell>
          <cell r="C17" t="str">
            <v xml:space="preserve"> </v>
          </cell>
          <cell r="D17" t="str">
            <v xml:space="preserve"> </v>
          </cell>
          <cell r="E17" t="str">
            <v>X</v>
          </cell>
          <cell r="F17" t="str">
            <v>X</v>
          </cell>
          <cell r="G17" t="str">
            <v>X</v>
          </cell>
          <cell r="H17" t="str">
            <v>X</v>
          </cell>
          <cell r="I17">
            <v>8</v>
          </cell>
          <cell r="J17">
            <v>73</v>
          </cell>
          <cell r="K17">
            <v>9617</v>
          </cell>
        </row>
        <row r="18">
          <cell r="A18" t="str">
            <v>MINERAL</v>
          </cell>
          <cell r="B18" t="str">
            <v>CO</v>
          </cell>
          <cell r="C18" t="str">
            <v xml:space="preserve"> </v>
          </cell>
          <cell r="D18" t="str">
            <v xml:space="preserve"> </v>
          </cell>
          <cell r="E18" t="str">
            <v>X</v>
          </cell>
          <cell r="F18" t="str">
            <v>X</v>
          </cell>
          <cell r="G18" t="str">
            <v>X</v>
          </cell>
          <cell r="H18" t="str">
            <v>X</v>
          </cell>
          <cell r="I18">
            <v>8</v>
          </cell>
          <cell r="J18">
            <v>79</v>
          </cell>
          <cell r="K18">
            <v>9736</v>
          </cell>
        </row>
        <row r="19">
          <cell r="A19" t="str">
            <v>OTERO</v>
          </cell>
          <cell r="B19" t="str">
            <v>CO</v>
          </cell>
          <cell r="C19" t="str">
            <v>X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>X</v>
          </cell>
          <cell r="H19" t="str">
            <v xml:space="preserve"> </v>
          </cell>
          <cell r="I19">
            <v>8</v>
          </cell>
          <cell r="J19">
            <v>89</v>
          </cell>
          <cell r="K19">
            <v>9682</v>
          </cell>
        </row>
        <row r="20">
          <cell r="A20" t="str">
            <v>PHILLIPS</v>
          </cell>
          <cell r="B20" t="str">
            <v>CO</v>
          </cell>
          <cell r="C20" t="str">
            <v xml:space="preserve"> </v>
          </cell>
          <cell r="D20" t="str">
            <v xml:space="preserve"> </v>
          </cell>
          <cell r="E20" t="str">
            <v xml:space="preserve"> </v>
          </cell>
          <cell r="F20" t="str">
            <v>X</v>
          </cell>
          <cell r="G20" t="str">
            <v xml:space="preserve"> </v>
          </cell>
          <cell r="H20" t="str">
            <v>X</v>
          </cell>
          <cell r="I20">
            <v>8</v>
          </cell>
          <cell r="J20">
            <v>95</v>
          </cell>
          <cell r="K20">
            <v>9676</v>
          </cell>
        </row>
        <row r="21">
          <cell r="A21" t="str">
            <v>PROWERS</v>
          </cell>
          <cell r="B21" t="str">
            <v>CO</v>
          </cell>
          <cell r="C21" t="str">
            <v>X</v>
          </cell>
          <cell r="D21" t="str">
            <v xml:space="preserve"> </v>
          </cell>
          <cell r="E21" t="str">
            <v>X</v>
          </cell>
          <cell r="F21" t="str">
            <v>X</v>
          </cell>
          <cell r="G21" t="str">
            <v>X</v>
          </cell>
          <cell r="H21" t="str">
            <v>X</v>
          </cell>
          <cell r="I21">
            <v>8</v>
          </cell>
          <cell r="J21">
            <v>99</v>
          </cell>
          <cell r="K21">
            <v>1</v>
          </cell>
        </row>
        <row r="22">
          <cell r="A22" t="str">
            <v>RIO BLANCO</v>
          </cell>
          <cell r="B22" t="str">
            <v>CO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>X</v>
          </cell>
          <cell r="G22" t="str">
            <v xml:space="preserve"> </v>
          </cell>
          <cell r="H22" t="str">
            <v>X</v>
          </cell>
          <cell r="I22">
            <v>8</v>
          </cell>
          <cell r="J22">
            <v>103</v>
          </cell>
          <cell r="K22">
            <v>9511</v>
          </cell>
        </row>
        <row r="23">
          <cell r="A23" t="str">
            <v>RIO GRANDE</v>
          </cell>
          <cell r="B23" t="str">
            <v>CO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>X</v>
          </cell>
          <cell r="G23" t="str">
            <v xml:space="preserve"> </v>
          </cell>
          <cell r="H23" t="str">
            <v>X</v>
          </cell>
          <cell r="I23">
            <v>8</v>
          </cell>
          <cell r="J23">
            <v>105</v>
          </cell>
          <cell r="K23">
            <v>9770</v>
          </cell>
        </row>
        <row r="24">
          <cell r="A24" t="str">
            <v>SAN JUAN</v>
          </cell>
          <cell r="B24" t="str">
            <v>CO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>X</v>
          </cell>
          <cell r="G24" t="str">
            <v xml:space="preserve"> </v>
          </cell>
          <cell r="H24" t="str">
            <v>X</v>
          </cell>
          <cell r="I24">
            <v>8</v>
          </cell>
          <cell r="J24">
            <v>111</v>
          </cell>
          <cell r="K24">
            <v>9726</v>
          </cell>
        </row>
        <row r="25">
          <cell r="A25" t="str">
            <v>SAN MIGUEL</v>
          </cell>
          <cell r="B25" t="str">
            <v>CO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>X</v>
          </cell>
          <cell r="G25" t="str">
            <v xml:space="preserve"> </v>
          </cell>
          <cell r="H25" t="str">
            <v>X</v>
          </cell>
          <cell r="I25">
            <v>8</v>
          </cell>
          <cell r="J25">
            <v>113</v>
          </cell>
          <cell r="K25">
            <v>9681.01</v>
          </cell>
        </row>
        <row r="26">
          <cell r="A26" t="str">
            <v>SEDGWICK</v>
          </cell>
          <cell r="B26" t="str">
            <v>CO</v>
          </cell>
          <cell r="C26" t="str">
            <v xml:space="preserve"> </v>
          </cell>
          <cell r="D26" t="str">
            <v xml:space="preserve"> </v>
          </cell>
          <cell r="E26" t="str">
            <v>X</v>
          </cell>
          <cell r="F26" t="str">
            <v>X</v>
          </cell>
          <cell r="G26" t="str">
            <v>X</v>
          </cell>
          <cell r="H26" t="str">
            <v>X</v>
          </cell>
          <cell r="I26">
            <v>8</v>
          </cell>
          <cell r="J26">
            <v>115</v>
          </cell>
          <cell r="K26">
            <v>9683</v>
          </cell>
        </row>
        <row r="27">
          <cell r="A27" t="str">
            <v>WASHINGTON</v>
          </cell>
          <cell r="B27" t="str">
            <v>CO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>X</v>
          </cell>
          <cell r="G27" t="str">
            <v xml:space="preserve"> </v>
          </cell>
          <cell r="H27" t="str">
            <v>X</v>
          </cell>
          <cell r="I27">
            <v>8</v>
          </cell>
          <cell r="J27">
            <v>121</v>
          </cell>
          <cell r="K27">
            <v>9241</v>
          </cell>
        </row>
        <row r="28">
          <cell r="A28" t="str">
            <v>YUMA</v>
          </cell>
          <cell r="B28" t="str">
            <v>CO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>X</v>
          </cell>
          <cell r="G28" t="str">
            <v xml:space="preserve"> </v>
          </cell>
          <cell r="H28" t="str">
            <v>X</v>
          </cell>
          <cell r="I28">
            <v>8</v>
          </cell>
          <cell r="J28">
            <v>125</v>
          </cell>
          <cell r="K28">
            <v>9631</v>
          </cell>
        </row>
      </sheetData>
      <sheetData sheetId="28">
        <row r="1">
          <cell r="B1" t="str">
            <v>County</v>
          </cell>
          <cell r="C1" t="str">
            <v>County</v>
          </cell>
          <cell r="D1" t="str">
            <v>Population</v>
          </cell>
        </row>
        <row r="2">
          <cell r="B2" t="str">
            <v>Denver</v>
          </cell>
          <cell r="C2" t="str">
            <v>Denver County</v>
          </cell>
          <cell r="D2">
            <v>727211</v>
          </cell>
        </row>
        <row r="3">
          <cell r="B3" t="str">
            <v>El Paso</v>
          </cell>
          <cell r="C3" t="str">
            <v>El Paso County</v>
          </cell>
          <cell r="D3">
            <v>720403</v>
          </cell>
        </row>
        <row r="4">
          <cell r="B4" t="str">
            <v>Arapahoe</v>
          </cell>
          <cell r="C4" t="str">
            <v>Arapahoe County</v>
          </cell>
          <cell r="D4">
            <v>656590</v>
          </cell>
        </row>
        <row r="5">
          <cell r="B5" t="str">
            <v>Jefferson</v>
          </cell>
          <cell r="C5" t="str">
            <v>Jefferson County</v>
          </cell>
          <cell r="D5">
            <v>582881</v>
          </cell>
        </row>
        <row r="6">
          <cell r="B6" t="str">
            <v>Adams</v>
          </cell>
          <cell r="C6" t="str">
            <v>Adams County</v>
          </cell>
          <cell r="D6">
            <v>517421</v>
          </cell>
        </row>
        <row r="7">
          <cell r="B7" t="str">
            <v>Larimer</v>
          </cell>
          <cell r="C7" t="str">
            <v>Larimer County</v>
          </cell>
          <cell r="D7">
            <v>356899</v>
          </cell>
        </row>
        <row r="8">
          <cell r="B8" t="str">
            <v>Douglas</v>
          </cell>
          <cell r="C8" t="str">
            <v>Douglas County</v>
          </cell>
          <cell r="D8">
            <v>351154</v>
          </cell>
        </row>
        <row r="9">
          <cell r="B9" t="str">
            <v>Boulder</v>
          </cell>
          <cell r="C9" t="str">
            <v>Boulder County</v>
          </cell>
          <cell r="D9">
            <v>326196</v>
          </cell>
        </row>
        <row r="10">
          <cell r="B10" t="str">
            <v>Weld</v>
          </cell>
          <cell r="C10" t="str">
            <v>Weld County</v>
          </cell>
          <cell r="D10">
            <v>324492</v>
          </cell>
        </row>
        <row r="11">
          <cell r="B11" t="str">
            <v>Pueblo</v>
          </cell>
          <cell r="C11" t="str">
            <v>Pueblo County</v>
          </cell>
          <cell r="D11">
            <v>168424</v>
          </cell>
        </row>
        <row r="12">
          <cell r="B12" t="str">
            <v>Mesa</v>
          </cell>
          <cell r="C12" t="str">
            <v>Mesa County</v>
          </cell>
          <cell r="D12">
            <v>154210</v>
          </cell>
        </row>
        <row r="13">
          <cell r="B13" t="str">
            <v>Broomfield</v>
          </cell>
          <cell r="C13" t="str">
            <v>Broomfield County</v>
          </cell>
          <cell r="D13">
            <v>70465</v>
          </cell>
        </row>
        <row r="14">
          <cell r="B14" t="str">
            <v>Garfield</v>
          </cell>
          <cell r="C14" t="str">
            <v>Garfield County</v>
          </cell>
          <cell r="D14">
            <v>60061</v>
          </cell>
        </row>
        <row r="15">
          <cell r="B15" t="str">
            <v>La Plata</v>
          </cell>
          <cell r="C15" t="str">
            <v>La Plata County</v>
          </cell>
          <cell r="D15">
            <v>56221</v>
          </cell>
        </row>
        <row r="16">
          <cell r="B16" t="str">
            <v>Eagle</v>
          </cell>
          <cell r="C16" t="str">
            <v>Eagle County</v>
          </cell>
          <cell r="D16">
            <v>55127</v>
          </cell>
        </row>
        <row r="17">
          <cell r="B17" t="str">
            <v>Fremont</v>
          </cell>
          <cell r="C17" t="str">
            <v>Fremont County</v>
          </cell>
          <cell r="D17">
            <v>47839</v>
          </cell>
        </row>
        <row r="18">
          <cell r="B18" t="str">
            <v>Montrose</v>
          </cell>
          <cell r="C18" t="str">
            <v>Montrose County</v>
          </cell>
          <cell r="D18">
            <v>42758</v>
          </cell>
        </row>
        <row r="19">
          <cell r="B19" t="str">
            <v>Delta</v>
          </cell>
          <cell r="C19" t="str">
            <v>Delta County</v>
          </cell>
          <cell r="D19">
            <v>31162</v>
          </cell>
        </row>
        <row r="20">
          <cell r="B20" t="str">
            <v>Summit</v>
          </cell>
          <cell r="C20" t="str">
            <v>Summit County</v>
          </cell>
          <cell r="D20">
            <v>31011</v>
          </cell>
        </row>
        <row r="21">
          <cell r="B21" t="str">
            <v>Morgan</v>
          </cell>
          <cell r="C21" t="str">
            <v>Morgan County</v>
          </cell>
          <cell r="D21">
            <v>29068</v>
          </cell>
        </row>
        <row r="22">
          <cell r="B22" t="str">
            <v>Elbert</v>
          </cell>
          <cell r="C22" t="str">
            <v>Elbert County</v>
          </cell>
          <cell r="D22">
            <v>26729</v>
          </cell>
        </row>
        <row r="23">
          <cell r="B23" t="str">
            <v>Montezuma</v>
          </cell>
          <cell r="C23" t="str">
            <v>Montezuma County</v>
          </cell>
          <cell r="D23">
            <v>26183</v>
          </cell>
        </row>
        <row r="24">
          <cell r="B24" t="str">
            <v>Routt</v>
          </cell>
          <cell r="C24" t="str">
            <v>Routt County</v>
          </cell>
          <cell r="D24">
            <v>25638</v>
          </cell>
        </row>
        <row r="25">
          <cell r="B25" t="str">
            <v>Teller</v>
          </cell>
          <cell r="C25" t="str">
            <v>Teller County</v>
          </cell>
          <cell r="D25">
            <v>25388</v>
          </cell>
        </row>
        <row r="26">
          <cell r="B26" t="str">
            <v>Logan</v>
          </cell>
          <cell r="C26" t="str">
            <v>Logan County</v>
          </cell>
          <cell r="D26">
            <v>22409</v>
          </cell>
        </row>
        <row r="27">
          <cell r="B27" t="str">
            <v>Chaffee</v>
          </cell>
          <cell r="C27" t="str">
            <v>Chaffee County</v>
          </cell>
          <cell r="D27">
            <v>20356</v>
          </cell>
        </row>
        <row r="28">
          <cell r="B28" t="str">
            <v>Park</v>
          </cell>
          <cell r="C28" t="str">
            <v>Park County</v>
          </cell>
          <cell r="D28">
            <v>18845</v>
          </cell>
        </row>
        <row r="29">
          <cell r="B29" t="str">
            <v>Otero</v>
          </cell>
          <cell r="C29" t="str">
            <v>Otero County</v>
          </cell>
          <cell r="D29">
            <v>18278</v>
          </cell>
        </row>
        <row r="30">
          <cell r="B30" t="str">
            <v>Pitkin</v>
          </cell>
          <cell r="C30" t="str">
            <v>Pitkin County</v>
          </cell>
          <cell r="D30">
            <v>17767</v>
          </cell>
        </row>
        <row r="31">
          <cell r="B31" t="str">
            <v>Gunnison</v>
          </cell>
          <cell r="C31" t="str">
            <v>Gunnison County</v>
          </cell>
          <cell r="D31">
            <v>17462</v>
          </cell>
        </row>
        <row r="32">
          <cell r="B32" t="str">
            <v>Alamosa</v>
          </cell>
          <cell r="C32" t="str">
            <v>Alamosa County</v>
          </cell>
          <cell r="D32">
            <v>16233</v>
          </cell>
        </row>
        <row r="33">
          <cell r="B33" t="str">
            <v>Grand</v>
          </cell>
          <cell r="C33" t="str">
            <v>Grand County</v>
          </cell>
          <cell r="D33">
            <v>15734</v>
          </cell>
        </row>
        <row r="34">
          <cell r="B34" t="str">
            <v>Las Animas</v>
          </cell>
          <cell r="C34" t="str">
            <v>Las Animas County</v>
          </cell>
          <cell r="D34">
            <v>14506</v>
          </cell>
        </row>
        <row r="35">
          <cell r="B35" t="str">
            <v>Archuleta</v>
          </cell>
          <cell r="C35" t="str">
            <v>Archuleta County</v>
          </cell>
          <cell r="D35">
            <v>14029</v>
          </cell>
        </row>
        <row r="36">
          <cell r="B36" t="str">
            <v>Moffat</v>
          </cell>
          <cell r="C36" t="str">
            <v>Moffat County</v>
          </cell>
          <cell r="D36">
            <v>13283</v>
          </cell>
        </row>
        <row r="37">
          <cell r="B37" t="str">
            <v>Prowers</v>
          </cell>
          <cell r="C37" t="str">
            <v>Prowers County</v>
          </cell>
          <cell r="D37">
            <v>12172</v>
          </cell>
        </row>
        <row r="38">
          <cell r="B38" t="str">
            <v>Rio Grande</v>
          </cell>
          <cell r="C38" t="str">
            <v>Rio Grande County</v>
          </cell>
          <cell r="D38">
            <v>11267</v>
          </cell>
        </row>
        <row r="39">
          <cell r="B39" t="str">
            <v>Yuma</v>
          </cell>
          <cell r="C39" t="str">
            <v>Yuma County</v>
          </cell>
          <cell r="D39">
            <v>10019</v>
          </cell>
        </row>
        <row r="40">
          <cell r="B40" t="str">
            <v>Clear Creek</v>
          </cell>
          <cell r="C40" t="str">
            <v>Clear Creek County</v>
          </cell>
          <cell r="D40">
            <v>9700</v>
          </cell>
        </row>
        <row r="41">
          <cell r="B41" t="str">
            <v>Conejos</v>
          </cell>
          <cell r="C41" t="str">
            <v>Conejos County</v>
          </cell>
          <cell r="D41">
            <v>8205</v>
          </cell>
        </row>
        <row r="42">
          <cell r="B42" t="str">
            <v>San Miguel</v>
          </cell>
          <cell r="C42" t="str">
            <v>San Miguel County</v>
          </cell>
          <cell r="D42">
            <v>8179</v>
          </cell>
        </row>
        <row r="43">
          <cell r="B43" t="str">
            <v>Lake</v>
          </cell>
          <cell r="C43" t="str">
            <v>Lake County</v>
          </cell>
          <cell r="D43">
            <v>8127</v>
          </cell>
        </row>
        <row r="44">
          <cell r="B44" t="str">
            <v>Kit Carson</v>
          </cell>
          <cell r="C44" t="str">
            <v>Kit Carson County</v>
          </cell>
          <cell r="D44">
            <v>7097</v>
          </cell>
        </row>
        <row r="45">
          <cell r="B45" t="str">
            <v>Huerfano</v>
          </cell>
          <cell r="C45" t="str">
            <v>Huerfano County</v>
          </cell>
          <cell r="D45">
            <v>6897</v>
          </cell>
        </row>
        <row r="46">
          <cell r="B46" t="str">
            <v>Saguache</v>
          </cell>
          <cell r="C46" t="str">
            <v>Saguache County</v>
          </cell>
          <cell r="D46">
            <v>6824</v>
          </cell>
        </row>
        <row r="47">
          <cell r="B47" t="str">
            <v>Rio Blanco</v>
          </cell>
          <cell r="C47" t="str">
            <v>Rio Blanco County</v>
          </cell>
          <cell r="D47">
            <v>6324</v>
          </cell>
        </row>
        <row r="48">
          <cell r="B48" t="str">
            <v>Gilpin</v>
          </cell>
          <cell r="C48" t="str">
            <v>Gilpin County</v>
          </cell>
          <cell r="D48">
            <v>6243</v>
          </cell>
        </row>
        <row r="49">
          <cell r="B49" t="str">
            <v>Crowley</v>
          </cell>
          <cell r="C49" t="str">
            <v>Crowley County</v>
          </cell>
          <cell r="D49">
            <v>6061</v>
          </cell>
        </row>
        <row r="50">
          <cell r="B50" t="str">
            <v>Lincoln</v>
          </cell>
          <cell r="C50" t="str">
            <v>Lincoln County</v>
          </cell>
          <cell r="D50">
            <v>5701</v>
          </cell>
        </row>
        <row r="51">
          <cell r="B51" t="str">
            <v>Bent</v>
          </cell>
          <cell r="C51" t="str">
            <v>Bent County</v>
          </cell>
          <cell r="D51">
            <v>5577</v>
          </cell>
        </row>
        <row r="52">
          <cell r="B52" t="str">
            <v>Custer</v>
          </cell>
          <cell r="C52" t="str">
            <v>Custer County</v>
          </cell>
          <cell r="D52">
            <v>5068</v>
          </cell>
        </row>
        <row r="53">
          <cell r="B53" t="str">
            <v>Ouray</v>
          </cell>
          <cell r="C53" t="str">
            <v>Ouray County</v>
          </cell>
          <cell r="D53">
            <v>4952</v>
          </cell>
        </row>
        <row r="54">
          <cell r="B54" t="str">
            <v>Washington</v>
          </cell>
          <cell r="C54" t="str">
            <v>Washington County</v>
          </cell>
          <cell r="D54">
            <v>4908</v>
          </cell>
        </row>
        <row r="55">
          <cell r="B55" t="str">
            <v>Phillips</v>
          </cell>
          <cell r="C55" t="str">
            <v>Phillips County</v>
          </cell>
          <cell r="D55">
            <v>4265</v>
          </cell>
        </row>
        <row r="56">
          <cell r="B56" t="str">
            <v>Costilla</v>
          </cell>
          <cell r="C56" t="str">
            <v>Costilla County</v>
          </cell>
          <cell r="D56">
            <v>3887</v>
          </cell>
        </row>
        <row r="57">
          <cell r="B57" t="str">
            <v>Baca</v>
          </cell>
          <cell r="C57" t="str">
            <v>Baca County</v>
          </cell>
          <cell r="D57">
            <v>3581</v>
          </cell>
        </row>
        <row r="58">
          <cell r="B58" t="str">
            <v>Sedgwick</v>
          </cell>
          <cell r="C58" t="str">
            <v>Sedgwick County</v>
          </cell>
          <cell r="D58">
            <v>2248</v>
          </cell>
        </row>
        <row r="59">
          <cell r="B59" t="str">
            <v>Dolores</v>
          </cell>
          <cell r="C59" t="str">
            <v>Dolores County</v>
          </cell>
          <cell r="D59">
            <v>2055</v>
          </cell>
        </row>
        <row r="60">
          <cell r="B60" t="str">
            <v>Cheyenne</v>
          </cell>
          <cell r="C60" t="str">
            <v>Cheyenne County</v>
          </cell>
          <cell r="D60">
            <v>1831</v>
          </cell>
        </row>
        <row r="61">
          <cell r="B61" t="str">
            <v>Kiowa</v>
          </cell>
          <cell r="C61" t="str">
            <v>Kiowa County</v>
          </cell>
          <cell r="D61">
            <v>1406</v>
          </cell>
        </row>
        <row r="62">
          <cell r="B62" t="str">
            <v>Jackson</v>
          </cell>
          <cell r="C62" t="str">
            <v>Jackson County</v>
          </cell>
          <cell r="D62">
            <v>1392</v>
          </cell>
        </row>
        <row r="63">
          <cell r="B63" t="str">
            <v>Hinsdale</v>
          </cell>
          <cell r="C63" t="str">
            <v>Hinsdale County</v>
          </cell>
          <cell r="D63">
            <v>820</v>
          </cell>
        </row>
        <row r="64">
          <cell r="B64" t="str">
            <v>Mineral</v>
          </cell>
          <cell r="C64" t="str">
            <v>Mineral County</v>
          </cell>
          <cell r="D64">
            <v>769</v>
          </cell>
        </row>
        <row r="65">
          <cell r="B65" t="str">
            <v>San Juan</v>
          </cell>
          <cell r="C65" t="str">
            <v>San Juan County</v>
          </cell>
          <cell r="D65">
            <v>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75"/>
  <sheetViews>
    <sheetView showGridLines="0" zoomScale="110" zoomScaleNormal="110" workbookViewId="0">
      <pane ySplit="5" topLeftCell="A6" activePane="bottomLeft" state="frozen"/>
      <selection activeCell="G2" sqref="G2"/>
      <selection pane="bottomLeft" activeCell="Q6" sqref="Q6"/>
    </sheetView>
  </sheetViews>
  <sheetFormatPr defaultRowHeight="15" outlineLevelCol="1" x14ac:dyDescent="0.25"/>
  <cols>
    <col min="1" max="1" width="12.140625" customWidth="1"/>
    <col min="2" max="2" width="11.28515625" hidden="1" customWidth="1" outlineLevel="1"/>
    <col min="3" max="3" width="11.28515625" customWidth="1" collapsed="1"/>
    <col min="4" max="4" width="15.140625" customWidth="1"/>
    <col min="5" max="5" width="11.28515625" customWidth="1"/>
    <col min="6" max="6" width="11.7109375" customWidth="1"/>
    <col min="8" max="8" width="16.5703125" hidden="1" customWidth="1" outlineLevel="1"/>
    <col min="9" max="9" width="16.5703125" bestFit="1" customWidth="1" collapsed="1"/>
    <col min="10" max="10" width="15.28515625" customWidth="1"/>
    <col min="11" max="11" width="13.42578125" customWidth="1"/>
    <col min="13" max="13" width="16.5703125" bestFit="1" customWidth="1"/>
    <col min="14" max="14" width="2.42578125" customWidth="1"/>
    <col min="15" max="15" width="14.28515625" customWidth="1"/>
    <col min="16" max="16" width="14.140625" customWidth="1"/>
    <col min="17" max="17" width="12.5703125" bestFit="1" customWidth="1"/>
    <col min="18" max="18" width="15.5703125" customWidth="1"/>
  </cols>
  <sheetData>
    <row r="1" spans="1:19" ht="15.75" thickBot="1" x14ac:dyDescent="0.3">
      <c r="J1" s="1">
        <v>1</v>
      </c>
      <c r="K1" s="1"/>
      <c r="L1" s="1"/>
      <c r="M1" s="1">
        <v>2</v>
      </c>
      <c r="N1" s="1"/>
      <c r="O1" s="1">
        <v>4</v>
      </c>
      <c r="P1" s="1">
        <v>3</v>
      </c>
    </row>
    <row r="2" spans="1:19" ht="30" x14ac:dyDescent="0.25">
      <c r="I2" s="2"/>
      <c r="J2" s="3">
        <v>50000000</v>
      </c>
      <c r="K2" s="4" t="s">
        <v>0</v>
      </c>
      <c r="L2" s="2"/>
      <c r="M2" s="5" t="s">
        <v>1</v>
      </c>
      <c r="N2" s="6"/>
      <c r="O2" s="5" t="s">
        <v>2</v>
      </c>
      <c r="P2" s="7" t="s">
        <v>3</v>
      </c>
    </row>
    <row r="3" spans="1:19" ht="15.75" thickBot="1" x14ac:dyDescent="0.3">
      <c r="G3" s="8" t="s">
        <v>4</v>
      </c>
      <c r="I3" s="9">
        <v>0.75138167874269512</v>
      </c>
      <c r="J3" s="10">
        <f>J2*I3</f>
        <v>37569083.937134758</v>
      </c>
      <c r="K3" s="4" t="s">
        <v>5</v>
      </c>
      <c r="M3" s="11">
        <v>200000</v>
      </c>
      <c r="N3" s="12"/>
      <c r="O3" s="11">
        <v>150000</v>
      </c>
      <c r="P3" s="13">
        <v>5000000</v>
      </c>
    </row>
    <row r="4" spans="1:19" ht="15.75" thickBot="1" x14ac:dyDescent="0.3">
      <c r="A4" t="s">
        <v>6</v>
      </c>
      <c r="M4" s="14">
        <f>M70</f>
        <v>2180916.0628652391</v>
      </c>
      <c r="N4" s="12"/>
      <c r="O4" s="14">
        <f>O70</f>
        <v>5250000</v>
      </c>
      <c r="Q4" s="15">
        <f>O4+M4+J3+P3</f>
        <v>50000000</v>
      </c>
      <c r="R4" s="16" t="s">
        <v>7</v>
      </c>
    </row>
    <row r="5" spans="1:19" ht="75.75" thickBot="1" x14ac:dyDescent="0.3">
      <c r="A5" s="17" t="s">
        <v>8</v>
      </c>
      <c r="B5" s="17" t="s">
        <v>9</v>
      </c>
      <c r="C5" s="17" t="s">
        <v>10</v>
      </c>
      <c r="D5" s="18" t="s">
        <v>11</v>
      </c>
      <c r="E5" s="19" t="s">
        <v>12</v>
      </c>
      <c r="F5" s="17" t="s">
        <v>13</v>
      </c>
      <c r="G5" s="17" t="s">
        <v>14</v>
      </c>
      <c r="H5" s="17" t="s">
        <v>15</v>
      </c>
      <c r="I5" s="20" t="s">
        <v>16</v>
      </c>
      <c r="J5" s="21" t="s">
        <v>17</v>
      </c>
      <c r="K5" s="17" t="s">
        <v>18</v>
      </c>
      <c r="L5" s="17" t="s">
        <v>19</v>
      </c>
      <c r="M5" s="17" t="s">
        <v>20</v>
      </c>
      <c r="N5" s="17"/>
      <c r="O5" s="17" t="s">
        <v>21</v>
      </c>
      <c r="P5" s="17" t="s">
        <v>22</v>
      </c>
      <c r="Q5" s="17" t="s">
        <v>23</v>
      </c>
      <c r="R5" s="15">
        <f>Q70</f>
        <v>49999999.999999985</v>
      </c>
      <c r="S5" t="s">
        <v>24</v>
      </c>
    </row>
    <row r="6" spans="1:19" x14ac:dyDescent="0.25">
      <c r="A6" s="22" t="s">
        <v>25</v>
      </c>
      <c r="B6" s="12">
        <f>VLOOKUP(A6,[1]Population!$B$1:$D$65,3,FALSE)</f>
        <v>727211</v>
      </c>
      <c r="C6" s="23">
        <f>B6/$B$70</f>
        <v>0.12627962108351554</v>
      </c>
      <c r="D6" s="23">
        <f>VLOOKUP(A6,[1]MAP!$A$2:$N$66,11,FALSE)</f>
        <v>0.18295492857953743</v>
      </c>
      <c r="E6" s="23">
        <f>VLOOKUP(A6,[1]MAP!$A$2:$N$66,9,FALSE)</f>
        <v>0.46250236149387741</v>
      </c>
      <c r="F6" s="1" t="str">
        <f>IFERROR(VLOOKUP($A6,'[1]Distressed and Underserved'!$A$3:$K$28,7,FALSE),"")</f>
        <v/>
      </c>
      <c r="G6" s="1" t="str">
        <f>IFERROR(VLOOKUP($A6,'[1]Distressed and Underserved'!$A$3:$K$28,8,FALSE),"")</f>
        <v/>
      </c>
      <c r="H6" s="12">
        <v>19752</v>
      </c>
      <c r="I6" s="24">
        <v>0.14422782037239867</v>
      </c>
      <c r="J6" s="25">
        <f t="shared" ref="J6:J69" si="0">I6*$J$3</f>
        <v>5418507.0896406397</v>
      </c>
      <c r="K6" s="26">
        <v>0.16492613392367508</v>
      </c>
      <c r="L6" s="26">
        <v>0.19479285857049761</v>
      </c>
      <c r="M6" s="15">
        <f t="shared" ref="M6:M66" si="1">IF(SUM(J6,P6,O6)&lt;$M$3,$M$3-SUM(J6,P6,O6),0)</f>
        <v>0</v>
      </c>
      <c r="O6" s="15">
        <f t="shared" ref="O6:O69" si="2">IF(F6="x",$O$3,0)+IF(G6="x",$O$3,0)</f>
        <v>0</v>
      </c>
      <c r="P6" s="15">
        <f>$P$3*D6</f>
        <v>914774.64289768715</v>
      </c>
      <c r="Q6" s="15">
        <f>M6+J6+O6+P6</f>
        <v>6333281.7325383266</v>
      </c>
      <c r="R6" s="27">
        <f>Q6/$Q$70</f>
        <v>0.12666563465076658</v>
      </c>
    </row>
    <row r="7" spans="1:19" x14ac:dyDescent="0.25">
      <c r="A7" s="22" t="s">
        <v>26</v>
      </c>
      <c r="B7" s="12">
        <f>VLOOKUP(A7,[1]Population!$B$1:$D$65,3,FALSE)</f>
        <v>656590</v>
      </c>
      <c r="C7" s="23">
        <f t="shared" ref="C7:C70" si="3">B7/$B$70</f>
        <v>0.11401633969676679</v>
      </c>
      <c r="D7" s="23">
        <f>VLOOKUP(A7,[1]MAP!$A$2:$N$66,11,FALSE)</f>
        <v>0.14263327265394093</v>
      </c>
      <c r="E7" s="23">
        <f>VLOOKUP(A7,[1]MAP!$A$2:$N$66,9,FALSE)</f>
        <v>0.39270832188053173</v>
      </c>
      <c r="F7" s="1" t="str">
        <f>IFERROR(VLOOKUP($A7,'[1]Distressed and Underserved'!$A$3:$K$28,7,FALSE),"")</f>
        <v/>
      </c>
      <c r="G7" s="1" t="str">
        <f>IFERROR(VLOOKUP($A7,'[1]Distressed and Underserved'!$A$3:$K$28,8,FALSE),"")</f>
        <v/>
      </c>
      <c r="H7" s="12">
        <v>14717</v>
      </c>
      <c r="I7" s="24">
        <v>0.10746257758305951</v>
      </c>
      <c r="J7" s="25">
        <f t="shared" si="0"/>
        <v>4037270.5973188188</v>
      </c>
      <c r="K7" s="26">
        <v>0.11198213748285539</v>
      </c>
      <c r="L7" s="26">
        <v>0.12477423838016069</v>
      </c>
      <c r="M7" s="15">
        <f t="shared" si="1"/>
        <v>0</v>
      </c>
      <c r="O7" s="15">
        <f t="shared" si="2"/>
        <v>0</v>
      </c>
      <c r="P7" s="15">
        <f t="shared" ref="P7:P69" si="4">$P$3*D7</f>
        <v>713166.36326970463</v>
      </c>
      <c r="Q7" s="15">
        <f t="shared" ref="Q7:Q69" si="5">M7+J7+O7+P7</f>
        <v>4750436.9605885232</v>
      </c>
      <c r="R7" s="27">
        <f t="shared" ref="R7:R70" si="6">Q7/$Q$70</f>
        <v>9.5008739211770499E-2</v>
      </c>
    </row>
    <row r="8" spans="1:19" x14ac:dyDescent="0.25">
      <c r="A8" s="22" t="s">
        <v>27</v>
      </c>
      <c r="B8" s="12">
        <f>VLOOKUP(A8,[1]Population!$B$1:$D$65,3,FALSE)</f>
        <v>582881</v>
      </c>
      <c r="C8" s="23">
        <f t="shared" si="3"/>
        <v>0.10121682952647942</v>
      </c>
      <c r="D8" s="23">
        <f>VLOOKUP(A8,[1]MAP!$A$2:$N$66,11,FALSE)</f>
        <v>7.048716747797544E-2</v>
      </c>
      <c r="E8" s="23">
        <f>VLOOKUP(A8,[1]MAP!$A$2:$N$66,9,FALSE)</f>
        <v>0.21660790951339962</v>
      </c>
      <c r="F8" s="1" t="str">
        <f>IFERROR(VLOOKUP($A8,'[1]Distressed and Underserved'!$A$3:$K$28,7,FALSE),"")</f>
        <v/>
      </c>
      <c r="G8" s="1" t="str">
        <f>IFERROR(VLOOKUP($A8,'[1]Distressed and Underserved'!$A$3:$K$28,8,FALSE),"")</f>
        <v/>
      </c>
      <c r="H8" s="12">
        <v>14265</v>
      </c>
      <c r="I8" s="24">
        <v>0.10416210295728368</v>
      </c>
      <c r="J8" s="25">
        <f t="shared" si="0"/>
        <v>3913274.789070663</v>
      </c>
      <c r="K8" s="26">
        <v>9.4832170136431276E-2</v>
      </c>
      <c r="L8" s="26">
        <v>9.7959639538832258E-2</v>
      </c>
      <c r="M8" s="15">
        <f t="shared" si="1"/>
        <v>0</v>
      </c>
      <c r="O8" s="15">
        <f t="shared" si="2"/>
        <v>0</v>
      </c>
      <c r="P8" s="15">
        <f t="shared" si="4"/>
        <v>352435.83738987718</v>
      </c>
      <c r="Q8" s="15">
        <f t="shared" si="5"/>
        <v>4265710.6264605401</v>
      </c>
      <c r="R8" s="27">
        <f t="shared" si="6"/>
        <v>8.5314212529210828E-2</v>
      </c>
    </row>
    <row r="9" spans="1:19" x14ac:dyDescent="0.25">
      <c r="A9" s="22" t="s">
        <v>28</v>
      </c>
      <c r="B9" s="12">
        <f>VLOOKUP(A9,[1]Population!$B$1:$D$65,3,FALSE)</f>
        <v>720403</v>
      </c>
      <c r="C9" s="23">
        <f t="shared" si="3"/>
        <v>0.12509741721099907</v>
      </c>
      <c r="D9" s="23">
        <f>VLOOKUP(A9,[1]MAP!$A$2:$N$66,11,FALSE)</f>
        <v>0.1198890542628937</v>
      </c>
      <c r="E9" s="23">
        <f>VLOOKUP(A9,[1]MAP!$A$2:$N$66,9,FALSE)</f>
        <v>0.30539284141753359</v>
      </c>
      <c r="F9" s="1" t="str">
        <f>IFERROR(VLOOKUP($A9,'[1]Distressed and Underserved'!$A$3:$K$28,7,FALSE),"")</f>
        <v/>
      </c>
      <c r="G9" s="1" t="str">
        <f>IFERROR(VLOOKUP($A9,'[1]Distressed and Underserved'!$A$3:$K$28,8,FALSE),"")</f>
        <v/>
      </c>
      <c r="H9" s="12">
        <v>13592</v>
      </c>
      <c r="I9" s="24">
        <v>9.9247900693683833E-2</v>
      </c>
      <c r="J9" s="25">
        <f t="shared" si="0"/>
        <v>3728652.7117454228</v>
      </c>
      <c r="K9" s="26">
        <v>9.7633597139332631E-2</v>
      </c>
      <c r="L9" s="26">
        <v>8.8486830317591303E-2</v>
      </c>
      <c r="M9" s="15">
        <f t="shared" si="1"/>
        <v>0</v>
      </c>
      <c r="O9" s="15">
        <f t="shared" si="2"/>
        <v>0</v>
      </c>
      <c r="P9" s="15">
        <f t="shared" si="4"/>
        <v>599445.27131446847</v>
      </c>
      <c r="Q9" s="15">
        <f t="shared" si="5"/>
        <v>4328097.9830598915</v>
      </c>
      <c r="R9" s="27">
        <f t="shared" si="6"/>
        <v>8.6561959661197854E-2</v>
      </c>
    </row>
    <row r="10" spans="1:19" x14ac:dyDescent="0.25">
      <c r="A10" s="22" t="s">
        <v>29</v>
      </c>
      <c r="B10" s="12">
        <f>VLOOKUP(A10,[1]Population!$B$1:$D$65,3,FALSE)</f>
        <v>326196</v>
      </c>
      <c r="C10" s="23">
        <f t="shared" si="3"/>
        <v>5.6643680140919812E-2</v>
      </c>
      <c r="D10" s="23">
        <f>VLOOKUP(A10,[1]MAP!$A$2:$N$66,11,FALSE)</f>
        <v>4.0633134599290674E-2</v>
      </c>
      <c r="E10" s="23">
        <f>VLOOKUP(A10,[1]MAP!$A$2:$N$66,9,FALSE)</f>
        <v>0.22187023019655483</v>
      </c>
      <c r="F10" s="1" t="str">
        <f>IFERROR(VLOOKUP($A10,'[1]Distressed and Underserved'!$A$3:$K$28,7,FALSE),"")</f>
        <v/>
      </c>
      <c r="G10" s="1" t="str">
        <f>IFERROR(VLOOKUP($A10,'[1]Distressed and Underserved'!$A$3:$K$28,8,FALSE),"")</f>
        <v/>
      </c>
      <c r="H10" s="12">
        <v>10752</v>
      </c>
      <c r="I10" s="24">
        <v>7.8510405257393209E-2</v>
      </c>
      <c r="J10" s="25">
        <f t="shared" si="0"/>
        <v>2949564.0050534713</v>
      </c>
      <c r="K10" s="26">
        <v>7.7827329793979133E-2</v>
      </c>
      <c r="L10" s="26">
        <v>8.2532602397147908E-2</v>
      </c>
      <c r="M10" s="15">
        <f t="shared" si="1"/>
        <v>0</v>
      </c>
      <c r="O10" s="15">
        <f t="shared" si="2"/>
        <v>0</v>
      </c>
      <c r="P10" s="15">
        <f t="shared" si="4"/>
        <v>203165.67299645336</v>
      </c>
      <c r="Q10" s="15">
        <f t="shared" si="5"/>
        <v>3152729.6780499248</v>
      </c>
      <c r="R10" s="27">
        <f t="shared" si="6"/>
        <v>6.3054593560998518E-2</v>
      </c>
    </row>
    <row r="11" spans="1:19" x14ac:dyDescent="0.25">
      <c r="A11" s="22" t="s">
        <v>30</v>
      </c>
      <c r="B11" s="12">
        <f>VLOOKUP(A11,[1]Population!$B$1:$D$65,3,FALSE)</f>
        <v>356899</v>
      </c>
      <c r="C11" s="23">
        <f t="shared" si="3"/>
        <v>6.1975232064814222E-2</v>
      </c>
      <c r="D11" s="23">
        <f>VLOOKUP(A11,[1]MAP!$A$2:$N$66,11,FALSE)</f>
        <v>3.3109726634678302E-2</v>
      </c>
      <c r="E11" s="23">
        <f>VLOOKUP(A11,[1]MAP!$A$2:$N$66,9,FALSE)</f>
        <v>0.17163126439772772</v>
      </c>
      <c r="F11" s="1" t="str">
        <f>IFERROR(VLOOKUP($A11,'[1]Distressed and Underserved'!$A$3:$K$28,7,FALSE),"")</f>
        <v/>
      </c>
      <c r="G11" s="1" t="str">
        <f>IFERROR(VLOOKUP($A11,'[1]Distressed and Underserved'!$A$3:$K$28,8,FALSE),"")</f>
        <v/>
      </c>
      <c r="H11" s="12">
        <v>9079</v>
      </c>
      <c r="I11" s="24">
        <v>6.6294267981014968E-2</v>
      </c>
      <c r="J11" s="25">
        <f t="shared" si="0"/>
        <v>2490614.9183296566</v>
      </c>
      <c r="K11" s="26">
        <v>6.9348106152076441E-2</v>
      </c>
      <c r="L11" s="26">
        <v>6.1009733173723837E-2</v>
      </c>
      <c r="M11" s="15">
        <f t="shared" si="1"/>
        <v>0</v>
      </c>
      <c r="O11" s="15">
        <f t="shared" si="2"/>
        <v>0</v>
      </c>
      <c r="P11" s="15">
        <f t="shared" si="4"/>
        <v>165548.63317339151</v>
      </c>
      <c r="Q11" s="15">
        <f t="shared" si="5"/>
        <v>2656163.5515030483</v>
      </c>
      <c r="R11" s="27">
        <f t="shared" si="6"/>
        <v>5.3123271030060981E-2</v>
      </c>
    </row>
    <row r="12" spans="1:19" x14ac:dyDescent="0.25">
      <c r="A12" s="22" t="s">
        <v>31</v>
      </c>
      <c r="B12" s="12">
        <f>VLOOKUP(A12,[1]Population!$B$1:$D$65,3,FALSE)</f>
        <v>517421</v>
      </c>
      <c r="C12" s="23">
        <f t="shared" si="3"/>
        <v>8.9849751751078705E-2</v>
      </c>
      <c r="D12" s="23">
        <f>VLOOKUP(A12,[1]MAP!$A$2:$N$66,11,FALSE)</f>
        <v>0.1402070477469424</v>
      </c>
      <c r="E12" s="23">
        <f>VLOOKUP(A12,[1]MAP!$A$2:$N$66,9,FALSE)</f>
        <v>0.49439868038582624</v>
      </c>
      <c r="F12" s="1" t="str">
        <f>IFERROR(VLOOKUP($A12,'[1]Distressed and Underserved'!$A$3:$K$28,7,FALSE),"")</f>
        <v/>
      </c>
      <c r="G12" s="1" t="str">
        <f>IFERROR(VLOOKUP($A12,'[1]Distressed and Underserved'!$A$3:$K$28,8,FALSE),"")</f>
        <v/>
      </c>
      <c r="H12" s="12">
        <v>7572</v>
      </c>
      <c r="I12" s="24">
        <v>5.5290251916757939E-2</v>
      </c>
      <c r="J12" s="25">
        <f t="shared" si="0"/>
        <v>2077204.115166005</v>
      </c>
      <c r="K12" s="26">
        <v>6.5849593703867157E-2</v>
      </c>
      <c r="L12" s="26">
        <v>6.6864246443753925E-2</v>
      </c>
      <c r="M12" s="15">
        <f t="shared" si="1"/>
        <v>0</v>
      </c>
      <c r="O12" s="15">
        <f t="shared" si="2"/>
        <v>0</v>
      </c>
      <c r="P12" s="15">
        <f t="shared" si="4"/>
        <v>701035.23873471201</v>
      </c>
      <c r="Q12" s="15">
        <f t="shared" si="5"/>
        <v>2778239.3539007171</v>
      </c>
      <c r="R12" s="27">
        <f t="shared" si="6"/>
        <v>5.5564787078014356E-2</v>
      </c>
    </row>
    <row r="13" spans="1:19" x14ac:dyDescent="0.25">
      <c r="A13" s="22" t="s">
        <v>32</v>
      </c>
      <c r="B13" s="12">
        <f>VLOOKUP(A13,[1]Population!$B$1:$D$65,3,FALSE)</f>
        <v>351154</v>
      </c>
      <c r="C13" s="23">
        <f t="shared" si="3"/>
        <v>6.0977617310465353E-2</v>
      </c>
      <c r="D13" s="23">
        <f>VLOOKUP(A13,[1]MAP!$A$2:$N$66,11,FALSE)</f>
        <v>3.2325895686590847E-2</v>
      </c>
      <c r="E13" s="23">
        <f>VLOOKUP(A13,[1]MAP!$A$2:$N$66,9,FALSE)</f>
        <v>0.1724363538984949</v>
      </c>
      <c r="F13" s="1" t="str">
        <f>IFERROR(VLOOKUP($A13,'[1]Distressed and Underserved'!$A$3:$K$28,7,FALSE),"")</f>
        <v/>
      </c>
      <c r="G13" s="1" t="str">
        <f>IFERROR(VLOOKUP($A13,'[1]Distressed and Underserved'!$A$3:$K$28,8,FALSE),"")</f>
        <v/>
      </c>
      <c r="H13" s="12">
        <v>7436</v>
      </c>
      <c r="I13" s="24">
        <v>5.4297188755020077E-2</v>
      </c>
      <c r="J13" s="25">
        <f t="shared" si="0"/>
        <v>2039895.6418877987</v>
      </c>
      <c r="K13" s="26">
        <v>4.5129739972854112E-2</v>
      </c>
      <c r="L13" s="26">
        <v>4.786542667109011E-2</v>
      </c>
      <c r="M13" s="15">
        <f t="shared" si="1"/>
        <v>0</v>
      </c>
      <c r="O13" s="15">
        <f t="shared" si="2"/>
        <v>0</v>
      </c>
      <c r="P13" s="15">
        <f t="shared" si="4"/>
        <v>161629.47843295423</v>
      </c>
      <c r="Q13" s="15">
        <f t="shared" si="5"/>
        <v>2201525.1203207527</v>
      </c>
      <c r="R13" s="27">
        <f t="shared" si="6"/>
        <v>4.4030502406415067E-2</v>
      </c>
    </row>
    <row r="14" spans="1:19" x14ac:dyDescent="0.25">
      <c r="A14" s="22" t="s">
        <v>33</v>
      </c>
      <c r="B14" s="12">
        <f>VLOOKUP(A14,[1]Population!$B$1:$D$65,3,FALSE)</f>
        <v>324492</v>
      </c>
      <c r="C14" s="23">
        <f t="shared" si="3"/>
        <v>5.6347781874355761E-2</v>
      </c>
      <c r="D14" s="23">
        <f>VLOOKUP(A14,[1]MAP!$A$2:$N$66,11,FALSE)</f>
        <v>5.7224223000475208E-2</v>
      </c>
      <c r="E14" s="23">
        <f>VLOOKUP(A14,[1]MAP!$A$2:$N$66,9,FALSE)</f>
        <v>0.33989218054844927</v>
      </c>
      <c r="F14" s="1" t="str">
        <f>IFERROR(VLOOKUP($A14,'[1]Distressed and Underserved'!$A$3:$K$28,7,FALSE),"")</f>
        <v/>
      </c>
      <c r="G14" s="1" t="str">
        <f>IFERROR(VLOOKUP($A14,'[1]Distressed and Underserved'!$A$3:$K$28,8,FALSE),"")</f>
        <v/>
      </c>
      <c r="H14" s="12">
        <v>5116</v>
      </c>
      <c r="I14" s="24">
        <v>3.7356699525374223E-2</v>
      </c>
      <c r="J14" s="25">
        <f t="shared" si="0"/>
        <v>1403456.9800831063</v>
      </c>
      <c r="K14" s="26">
        <v>4.1851297161815418E-2</v>
      </c>
      <c r="L14" s="26">
        <v>4.1265269098272959E-2</v>
      </c>
      <c r="M14" s="15">
        <f t="shared" si="1"/>
        <v>0</v>
      </c>
      <c r="O14" s="15">
        <f t="shared" si="2"/>
        <v>0</v>
      </c>
      <c r="P14" s="15">
        <f t="shared" si="4"/>
        <v>286121.11500237603</v>
      </c>
      <c r="Q14" s="15">
        <f t="shared" si="5"/>
        <v>1689578.0950854823</v>
      </c>
      <c r="R14" s="27">
        <f t="shared" si="6"/>
        <v>3.3791561901709656E-2</v>
      </c>
    </row>
    <row r="15" spans="1:19" x14ac:dyDescent="0.25">
      <c r="A15" s="22" t="s">
        <v>34</v>
      </c>
      <c r="B15" s="12">
        <f>VLOOKUP(A15,[1]Population!$B$1:$D$65,3,FALSE)</f>
        <v>154210</v>
      </c>
      <c r="C15" s="23">
        <f t="shared" si="3"/>
        <v>2.6778445825611733E-2</v>
      </c>
      <c r="D15" s="23">
        <f>VLOOKUP(A15,[1]MAP!$A$2:$N$66,11,FALSE)</f>
        <v>1.5797559399154216E-2</v>
      </c>
      <c r="E15" s="23">
        <f>VLOOKUP(A15,[1]MAP!$A$2:$N$66,9,FALSE)</f>
        <v>0.18461579487726504</v>
      </c>
      <c r="F15" s="1" t="str">
        <f>IFERROR(VLOOKUP($A15,'[1]Distressed and Underserved'!$A$3:$K$28,7,FALSE),"")</f>
        <v/>
      </c>
      <c r="G15" s="1" t="str">
        <f>IFERROR(VLOOKUP($A15,'[1]Distressed and Underserved'!$A$3:$K$28,8,FALSE),"")</f>
        <v/>
      </c>
      <c r="H15" s="12">
        <v>3625</v>
      </c>
      <c r="I15" s="24">
        <v>2.6469514421321651E-2</v>
      </c>
      <c r="J15" s="25">
        <f t="shared" si="0"/>
        <v>994435.40906983207</v>
      </c>
      <c r="K15" s="26">
        <v>2.6686714812351974E-2</v>
      </c>
      <c r="L15" s="26">
        <v>2.3361879301071583E-2</v>
      </c>
      <c r="M15" s="15">
        <f t="shared" si="1"/>
        <v>0</v>
      </c>
      <c r="O15" s="15">
        <f t="shared" si="2"/>
        <v>0</v>
      </c>
      <c r="P15" s="15">
        <f t="shared" si="4"/>
        <v>78987.796995771074</v>
      </c>
      <c r="Q15" s="15">
        <f t="shared" si="5"/>
        <v>1073423.2060656031</v>
      </c>
      <c r="R15" s="27">
        <f t="shared" si="6"/>
        <v>2.1468464121312068E-2</v>
      </c>
    </row>
    <row r="16" spans="1:19" x14ac:dyDescent="0.25">
      <c r="A16" s="22" t="s">
        <v>35</v>
      </c>
      <c r="B16" s="12">
        <f>VLOOKUP(A16,[1]Population!$B$1:$D$65,3,FALSE)</f>
        <v>55127</v>
      </c>
      <c r="C16" s="23">
        <f t="shared" si="3"/>
        <v>9.5727604113124819E-3</v>
      </c>
      <c r="D16" s="23">
        <f>VLOOKUP(A16,[1]MAP!$A$2:$N$66,11,FALSE)</f>
        <v>1.0186379482568888E-2</v>
      </c>
      <c r="E16" s="23">
        <f>VLOOKUP(A16,[1]MAP!$A$2:$N$66,9,FALSE)</f>
        <v>0.32849495005243112</v>
      </c>
      <c r="F16" s="1" t="str">
        <f>IFERROR(VLOOKUP($A16,'[1]Distressed and Underserved'!$A$3:$K$28,7,FALSE),"")</f>
        <v/>
      </c>
      <c r="G16" s="1" t="str">
        <f>IFERROR(VLOOKUP($A16,'[1]Distressed and Underserved'!$A$3:$K$28,8,FALSE),"")</f>
        <v/>
      </c>
      <c r="H16" s="12">
        <v>3134</v>
      </c>
      <c r="I16" s="24">
        <v>2.2884264330047463E-2</v>
      </c>
      <c r="J16" s="25">
        <f t="shared" si="0"/>
        <v>859740.84745513205</v>
      </c>
      <c r="K16" s="26">
        <v>1.9476757672400768E-2</v>
      </c>
      <c r="L16" s="26">
        <v>1.8906976607212734E-2</v>
      </c>
      <c r="M16" s="15">
        <f t="shared" si="1"/>
        <v>0</v>
      </c>
      <c r="O16" s="15">
        <f t="shared" si="2"/>
        <v>0</v>
      </c>
      <c r="P16" s="15">
        <f t="shared" si="4"/>
        <v>50931.897412844439</v>
      </c>
      <c r="Q16" s="15">
        <f t="shared" si="5"/>
        <v>910672.74486797652</v>
      </c>
      <c r="R16" s="27">
        <f t="shared" si="6"/>
        <v>1.8213454897359534E-2</v>
      </c>
    </row>
    <row r="17" spans="1:18" x14ac:dyDescent="0.25">
      <c r="A17" s="22" t="s">
        <v>36</v>
      </c>
      <c r="B17" s="12">
        <f>VLOOKUP(A17,[1]Population!$B$1:$D$65,3,FALSE)</f>
        <v>168424</v>
      </c>
      <c r="C17" s="23">
        <f t="shared" si="3"/>
        <v>2.9246695802690036E-2</v>
      </c>
      <c r="D17" s="23">
        <f>VLOOKUP(A17,[1]MAP!$A$2:$N$66,11,FALSE)</f>
        <v>4.4854069959479249E-2</v>
      </c>
      <c r="E17" s="23">
        <f>VLOOKUP(A17,[1]MAP!$A$2:$N$66,9,FALSE)</f>
        <v>0.47743267449980265</v>
      </c>
      <c r="F17" s="1" t="str">
        <f>IFERROR(VLOOKUP($A17,'[1]Distressed and Underserved'!$A$3:$K$28,7,FALSE),"")</f>
        <v/>
      </c>
      <c r="G17" s="1" t="str">
        <f>IFERROR(VLOOKUP($A17,'[1]Distressed and Underserved'!$A$3:$K$28,8,FALSE),"")</f>
        <v/>
      </c>
      <c r="H17" s="12">
        <v>2377</v>
      </c>
      <c r="I17" s="24">
        <v>1.7356699525374223E-2</v>
      </c>
      <c r="J17" s="25">
        <f t="shared" si="0"/>
        <v>652075.30134041118</v>
      </c>
      <c r="K17" s="26">
        <v>2.1317015665389471E-2</v>
      </c>
      <c r="L17" s="26">
        <v>1.6737254070452214E-2</v>
      </c>
      <c r="M17" s="15">
        <f t="shared" si="1"/>
        <v>0</v>
      </c>
      <c r="O17" s="15">
        <f t="shared" si="2"/>
        <v>0</v>
      </c>
      <c r="P17" s="15">
        <f t="shared" si="4"/>
        <v>224270.34979739625</v>
      </c>
      <c r="Q17" s="15">
        <f t="shared" si="5"/>
        <v>876345.65113780741</v>
      </c>
      <c r="R17" s="27">
        <f t="shared" si="6"/>
        <v>1.7526913022756153E-2</v>
      </c>
    </row>
    <row r="18" spans="1:18" x14ac:dyDescent="0.25">
      <c r="A18" s="22" t="s">
        <v>37</v>
      </c>
      <c r="B18" s="12">
        <f>VLOOKUP(A18,[1]Population!$B$1:$D$65,3,FALSE)</f>
        <v>60061</v>
      </c>
      <c r="C18" s="23">
        <f t="shared" si="3"/>
        <v>1.0429545650295481E-2</v>
      </c>
      <c r="D18" s="23">
        <f>VLOOKUP(A18,[1]MAP!$A$2:$N$66,11,FALSE)</f>
        <v>1.0530945634421017E-2</v>
      </c>
      <c r="E18" s="23">
        <f>VLOOKUP(A18,[1]MAP!$A$2:$N$66,9,FALSE)</f>
        <v>0.31535071235778467</v>
      </c>
      <c r="F18" s="1" t="str">
        <f>IFERROR(VLOOKUP($A18,'[1]Distressed and Underserved'!$A$3:$K$28,7,FALSE),"")</f>
        <v/>
      </c>
      <c r="G18" s="1" t="str">
        <f>IFERROR(VLOOKUP($A18,'[1]Distressed and Underserved'!$A$3:$K$28,8,FALSE),"")</f>
        <v/>
      </c>
      <c r="H18" s="12">
        <v>2135</v>
      </c>
      <c r="I18" s="24">
        <v>1.5589631252281855E-2</v>
      </c>
      <c r="J18" s="25">
        <f t="shared" si="0"/>
        <v>585688.1650659563</v>
      </c>
      <c r="K18" s="26">
        <v>1.4561472587055384E-2</v>
      </c>
      <c r="L18" s="26">
        <v>1.4413982531578554E-2</v>
      </c>
      <c r="M18" s="15">
        <f t="shared" si="1"/>
        <v>0</v>
      </c>
      <c r="O18" s="15">
        <f t="shared" si="2"/>
        <v>0</v>
      </c>
      <c r="P18" s="15">
        <f t="shared" si="4"/>
        <v>52654.728172105089</v>
      </c>
      <c r="Q18" s="15">
        <f t="shared" si="5"/>
        <v>638342.89323806134</v>
      </c>
      <c r="R18" s="27">
        <f t="shared" si="6"/>
        <v>1.2766857864761231E-2</v>
      </c>
    </row>
    <row r="19" spans="1:18" x14ac:dyDescent="0.25">
      <c r="A19" s="22" t="s">
        <v>38</v>
      </c>
      <c r="B19" s="12">
        <f>VLOOKUP(A19,[1]Population!$B$1:$D$65,3,FALSE)</f>
        <v>56221</v>
      </c>
      <c r="C19" s="23">
        <f t="shared" si="3"/>
        <v>9.7627326552215624E-3</v>
      </c>
      <c r="D19" s="23">
        <f>VLOOKUP(A19,[1]MAP!$A$2:$N$66,11,FALSE)</f>
        <v>6.6853820091971779E-3</v>
      </c>
      <c r="E19" s="23">
        <f>VLOOKUP(A19,[1]MAP!$A$2:$N$66,9,FALSE)</f>
        <v>0.2126821654779405</v>
      </c>
      <c r="F19" s="1" t="str">
        <f>IFERROR(VLOOKUP($A19,'[1]Distressed and Underserved'!$A$3:$K$28,7,FALSE),"")</f>
        <v/>
      </c>
      <c r="G19" s="1" t="str">
        <f>IFERROR(VLOOKUP($A19,'[1]Distressed and Underserved'!$A$3:$K$28,8,FALSE),"")</f>
        <v/>
      </c>
      <c r="H19" s="12">
        <v>2118</v>
      </c>
      <c r="I19" s="24">
        <v>1.5465498357064622E-2</v>
      </c>
      <c r="J19" s="25">
        <f t="shared" si="0"/>
        <v>581024.60590618046</v>
      </c>
      <c r="K19" s="26">
        <v>1.3819183648707002E-2</v>
      </c>
      <c r="L19" s="26">
        <v>1.2151453535752697E-2</v>
      </c>
      <c r="M19" s="15">
        <f t="shared" si="1"/>
        <v>0</v>
      </c>
      <c r="O19" s="15">
        <f t="shared" si="2"/>
        <v>0</v>
      </c>
      <c r="P19" s="15">
        <f t="shared" si="4"/>
        <v>33426.910045985889</v>
      </c>
      <c r="Q19" s="15">
        <f t="shared" si="5"/>
        <v>614451.5159521664</v>
      </c>
      <c r="R19" s="27">
        <f t="shared" si="6"/>
        <v>1.2289030319043331E-2</v>
      </c>
    </row>
    <row r="20" spans="1:18" x14ac:dyDescent="0.25">
      <c r="A20" s="22" t="s">
        <v>39</v>
      </c>
      <c r="B20" s="12">
        <f>VLOOKUP(A20,[1]Population!$B$1:$D$65,3,FALSE)</f>
        <v>31011</v>
      </c>
      <c r="C20" s="23">
        <f t="shared" si="3"/>
        <v>5.3850358828742978E-3</v>
      </c>
      <c r="D20" s="23">
        <f>VLOOKUP(A20,[1]MAP!$A$2:$N$66,11,FALSE)</f>
        <v>3.0788468899767192E-3</v>
      </c>
      <c r="E20" s="23">
        <f>VLOOKUP(A20,[1]MAP!$A$2:$N$66,9,FALSE)</f>
        <v>0.17736369910282954</v>
      </c>
      <c r="F20" s="1" t="str">
        <f>IFERROR(VLOOKUP($A20,'[1]Distressed and Underserved'!$A$3:$K$28,7,FALSE),"")</f>
        <v/>
      </c>
      <c r="G20" s="1" t="str">
        <f>IFERROR(VLOOKUP($A20,'[1]Distressed and Underserved'!$A$3:$K$28,8,FALSE),"")</f>
        <v/>
      </c>
      <c r="H20" s="12">
        <v>1971</v>
      </c>
      <c r="I20" s="24">
        <v>1.4392113910186199E-2</v>
      </c>
      <c r="J20" s="25">
        <f t="shared" si="0"/>
        <v>540698.53552459006</v>
      </c>
      <c r="K20" s="26">
        <v>1.2747385037405891E-2</v>
      </c>
      <c r="L20" s="26">
        <v>1.0271379627462983E-2</v>
      </c>
      <c r="M20" s="15">
        <f t="shared" si="1"/>
        <v>0</v>
      </c>
      <c r="O20" s="15">
        <f t="shared" si="2"/>
        <v>0</v>
      </c>
      <c r="P20" s="15">
        <f t="shared" si="4"/>
        <v>15394.234449883596</v>
      </c>
      <c r="Q20" s="15">
        <f t="shared" si="5"/>
        <v>556092.76997447363</v>
      </c>
      <c r="R20" s="27">
        <f t="shared" si="6"/>
        <v>1.1121855399489476E-2</v>
      </c>
    </row>
    <row r="21" spans="1:18" x14ac:dyDescent="0.25">
      <c r="A21" s="22" t="s">
        <v>40</v>
      </c>
      <c r="B21" s="12">
        <f>VLOOKUP(A21,[1]Population!$B$1:$D$65,3,FALSE)</f>
        <v>70465</v>
      </c>
      <c r="C21" s="23">
        <f t="shared" si="3"/>
        <v>1.223619210882388E-2</v>
      </c>
      <c r="D21" s="23">
        <f>VLOOKUP(A21,[1]MAP!$A$2:$N$66,11,FALSE)</f>
        <v>8.6278451665754863E-3</v>
      </c>
      <c r="E21" s="23">
        <f>VLOOKUP(A21,[1]MAP!$A$2:$N$66,9,FALSE)</f>
        <v>0.22873563218390805</v>
      </c>
      <c r="F21" s="1" t="str">
        <f>IFERROR(VLOOKUP($A21,'[1]Distressed and Underserved'!$A$3:$K$28,7,FALSE),"")</f>
        <v/>
      </c>
      <c r="G21" s="1" t="str">
        <f>IFERROR(VLOOKUP($A21,'[1]Distressed and Underserved'!$A$3:$K$28,8,FALSE),"")</f>
        <v/>
      </c>
      <c r="H21" s="12">
        <v>1587</v>
      </c>
      <c r="I21" s="24">
        <v>1.15881708652793E-2</v>
      </c>
      <c r="J21" s="25">
        <f t="shared" si="0"/>
        <v>435356.96391553752</v>
      </c>
      <c r="K21" s="26">
        <v>1.1573283783960612E-2</v>
      </c>
      <c r="L21" s="26">
        <v>1.2044142627124069E-2</v>
      </c>
      <c r="M21" s="15">
        <f t="shared" si="1"/>
        <v>0</v>
      </c>
      <c r="O21" s="15">
        <f t="shared" si="2"/>
        <v>0</v>
      </c>
      <c r="P21" s="15">
        <f t="shared" si="4"/>
        <v>43139.225832877433</v>
      </c>
      <c r="Q21" s="15">
        <f t="shared" si="5"/>
        <v>478496.18974841497</v>
      </c>
      <c r="R21" s="27">
        <f t="shared" si="6"/>
        <v>9.5699237949683023E-3</v>
      </c>
    </row>
    <row r="22" spans="1:18" x14ac:dyDescent="0.25">
      <c r="A22" s="22" t="s">
        <v>41</v>
      </c>
      <c r="B22" s="12">
        <f>VLOOKUP(A22,[1]Population!$B$1:$D$65,3,FALSE)</f>
        <v>25638</v>
      </c>
      <c r="C22" s="23">
        <f t="shared" si="3"/>
        <v>4.4520186374232126E-3</v>
      </c>
      <c r="D22" s="23">
        <f>VLOOKUP(A22,[1]MAP!$A$2:$N$66,11,FALSE)</f>
        <v>1.4855136745412962E-3</v>
      </c>
      <c r="E22" s="23">
        <f>VLOOKUP(A22,[1]MAP!$A$2:$N$66,9,FALSE)</f>
        <v>0.10468762563319128</v>
      </c>
      <c r="F22" s="1" t="str">
        <f>IFERROR(VLOOKUP($A22,'[1]Distressed and Underserved'!$A$3:$K$28,7,FALSE),"")</f>
        <v/>
      </c>
      <c r="G22" s="1" t="str">
        <f>IFERROR(VLOOKUP($A22,'[1]Distressed and Underserved'!$A$3:$K$28,8,FALSE),"")</f>
        <v/>
      </c>
      <c r="H22" s="12">
        <v>1577</v>
      </c>
      <c r="I22" s="24">
        <v>1.1515151515151515E-2</v>
      </c>
      <c r="J22" s="25">
        <f t="shared" si="0"/>
        <v>432613.69382155174</v>
      </c>
      <c r="K22" s="26">
        <v>1.0026848495734812E-2</v>
      </c>
      <c r="L22" s="26">
        <v>8.4656995088688795E-3</v>
      </c>
      <c r="M22" s="15">
        <f t="shared" si="1"/>
        <v>0</v>
      </c>
      <c r="O22" s="15">
        <f t="shared" si="2"/>
        <v>0</v>
      </c>
      <c r="P22" s="15">
        <f t="shared" si="4"/>
        <v>7427.5683727064816</v>
      </c>
      <c r="Q22" s="15">
        <f t="shared" si="5"/>
        <v>440041.26219425822</v>
      </c>
      <c r="R22" s="27">
        <f t="shared" si="6"/>
        <v>8.8008252438851672E-3</v>
      </c>
    </row>
    <row r="23" spans="1:18" x14ac:dyDescent="0.25">
      <c r="A23" s="22" t="s">
        <v>42</v>
      </c>
      <c r="B23" s="12">
        <f>VLOOKUP(A23,[1]Population!$B$1:$D$65,3,FALSE)</f>
        <v>17767</v>
      </c>
      <c r="C23" s="23">
        <f t="shared" si="3"/>
        <v>3.0852256467391453E-3</v>
      </c>
      <c r="D23" s="23">
        <f>VLOOKUP(A23,[1]MAP!$A$2:$N$66,11,FALSE)</f>
        <v>1.4786679894051612E-3</v>
      </c>
      <c r="E23" s="23">
        <f>VLOOKUP(A23,[1]MAP!$A$2:$N$66,9,FALSE)</f>
        <v>0.14473169914568093</v>
      </c>
      <c r="F23" s="1" t="str">
        <f>IFERROR(VLOOKUP($A23,'[1]Distressed and Underserved'!$A$3:$K$28,7,FALSE),"")</f>
        <v/>
      </c>
      <c r="G23" s="1" t="str">
        <f>IFERROR(VLOOKUP($A23,'[1]Distressed and Underserved'!$A$3:$K$28,8,FALSE),"")</f>
        <v/>
      </c>
      <c r="H23" s="12">
        <v>1429</v>
      </c>
      <c r="I23" s="24">
        <v>1.0434465133260315E-2</v>
      </c>
      <c r="J23" s="25">
        <f t="shared" si="0"/>
        <v>392013.2964305628</v>
      </c>
      <c r="K23" s="26">
        <v>1.0213610295928236E-2</v>
      </c>
      <c r="L23" s="26">
        <v>1.0626669835076978E-2</v>
      </c>
      <c r="M23" s="15">
        <f t="shared" si="1"/>
        <v>0</v>
      </c>
      <c r="O23" s="15">
        <f t="shared" si="2"/>
        <v>0</v>
      </c>
      <c r="P23" s="15">
        <f t="shared" si="4"/>
        <v>7393.3399470258064</v>
      </c>
      <c r="Q23" s="15">
        <f t="shared" si="5"/>
        <v>399406.63637758861</v>
      </c>
      <c r="R23" s="27">
        <f t="shared" si="6"/>
        <v>7.9881327275517743E-3</v>
      </c>
    </row>
    <row r="24" spans="1:18" x14ac:dyDescent="0.25">
      <c r="A24" s="22" t="s">
        <v>43</v>
      </c>
      <c r="B24" s="12">
        <f>VLOOKUP(A24,[1]Population!$B$1:$D$65,3,FALSE)</f>
        <v>42758</v>
      </c>
      <c r="C24" s="23">
        <f t="shared" si="3"/>
        <v>7.4248932404611008E-3</v>
      </c>
      <c r="D24" s="23">
        <f>VLOOKUP(A24,[1]MAP!$A$2:$N$66,11,FALSE)</f>
        <v>5.6328579195164211E-3</v>
      </c>
      <c r="E24" s="23">
        <f>VLOOKUP(A24,[1]MAP!$A$2:$N$66,9,FALSE)</f>
        <v>0.23926529029756713</v>
      </c>
      <c r="F24" s="1" t="str">
        <f>IFERROR(VLOOKUP($A24,'[1]Distressed and Underserved'!$A$3:$K$28,7,FALSE),"")</f>
        <v/>
      </c>
      <c r="G24" s="1" t="str">
        <f>IFERROR(VLOOKUP($A24,'[1]Distressed and Underserved'!$A$3:$K$28,8,FALSE),"")</f>
        <v/>
      </c>
      <c r="H24" s="12">
        <v>1091</v>
      </c>
      <c r="I24" s="24">
        <v>7.9664110989412194E-3</v>
      </c>
      <c r="J24" s="25">
        <f t="shared" si="0"/>
        <v>299290.76725384459</v>
      </c>
      <c r="K24" s="26">
        <v>8.1128374351538048E-3</v>
      </c>
      <c r="L24" s="26">
        <v>6.9558055752021583E-3</v>
      </c>
      <c r="M24" s="15">
        <f t="shared" si="1"/>
        <v>0</v>
      </c>
      <c r="O24" s="15">
        <f t="shared" si="2"/>
        <v>0</v>
      </c>
      <c r="P24" s="15">
        <f t="shared" si="4"/>
        <v>28164.289597582105</v>
      </c>
      <c r="Q24" s="15">
        <f t="shared" si="5"/>
        <v>327455.05685142672</v>
      </c>
      <c r="R24" s="27">
        <f t="shared" si="6"/>
        <v>6.549101137028536E-3</v>
      </c>
    </row>
    <row r="25" spans="1:18" x14ac:dyDescent="0.25">
      <c r="A25" s="22" t="s">
        <v>44</v>
      </c>
      <c r="B25" s="12">
        <f>VLOOKUP(A25,[1]Population!$B$1:$D$65,3,FALSE)</f>
        <v>17462</v>
      </c>
      <c r="C25" s="23">
        <f t="shared" si="3"/>
        <v>3.0322626354116599E-3</v>
      </c>
      <c r="D25" s="23">
        <f>VLOOKUP(A25,[1]MAP!$A$2:$N$66,11,FALSE)</f>
        <v>1.2088339002891732E-3</v>
      </c>
      <c r="E25" s="23">
        <f>VLOOKUP(A25,[1]MAP!$A$2:$N$66,9,FALSE)</f>
        <v>0.12813690512184797</v>
      </c>
      <c r="F25" s="1" t="str">
        <f>IFERROR(VLOOKUP($A25,'[1]Distressed and Underserved'!$A$3:$K$28,7,FALSE),"")</f>
        <v xml:space="preserve"> </v>
      </c>
      <c r="G25" s="1" t="str">
        <f>IFERROR(VLOOKUP($A25,'[1]Distressed and Underserved'!$A$3:$K$28,8,FALSE),"")</f>
        <v>X</v>
      </c>
      <c r="H25" s="12">
        <v>1085</v>
      </c>
      <c r="I25" s="24">
        <v>7.9225994888645485E-3</v>
      </c>
      <c r="J25" s="25">
        <f t="shared" si="0"/>
        <v>297644.80519745313</v>
      </c>
      <c r="K25" s="26">
        <v>5.5445652910926513E-3</v>
      </c>
      <c r="L25" s="26">
        <v>3.9743567937162872E-3</v>
      </c>
      <c r="M25" s="15">
        <f t="shared" si="1"/>
        <v>0</v>
      </c>
      <c r="O25" s="15">
        <f t="shared" si="2"/>
        <v>150000</v>
      </c>
      <c r="P25" s="15">
        <f t="shared" si="4"/>
        <v>6044.1695014458655</v>
      </c>
      <c r="Q25" s="15">
        <f t="shared" si="5"/>
        <v>453688.97469889896</v>
      </c>
      <c r="R25" s="27">
        <f t="shared" si="6"/>
        <v>9.0737794939779823E-3</v>
      </c>
    </row>
    <row r="26" spans="1:18" x14ac:dyDescent="0.25">
      <c r="A26" s="22" t="s">
        <v>45</v>
      </c>
      <c r="B26" s="12">
        <f>VLOOKUP(A26,[1]Population!$B$1:$D$65,3,FALSE)</f>
        <v>20356</v>
      </c>
      <c r="C26" s="23">
        <f t="shared" si="3"/>
        <v>3.5348034707616393E-3</v>
      </c>
      <c r="D26" s="23">
        <f>VLOOKUP(A26,[1]MAP!$A$2:$N$66,11,FALSE)</f>
        <v>1.6475282227631581E-3</v>
      </c>
      <c r="E26" s="23">
        <f>VLOOKUP(A26,[1]MAP!$A$2:$N$66,9,FALSE)</f>
        <v>0.15069922771863911</v>
      </c>
      <c r="F26" s="1" t="str">
        <f>IFERROR(VLOOKUP($A26,'[1]Distressed and Underserved'!$A$3:$K$28,7,FALSE),"")</f>
        <v xml:space="preserve"> </v>
      </c>
      <c r="G26" s="1" t="str">
        <f>IFERROR(VLOOKUP($A26,'[1]Distressed and Underserved'!$A$3:$K$28,8,FALSE),"")</f>
        <v>X</v>
      </c>
      <c r="H26" s="12">
        <v>881</v>
      </c>
      <c r="I26" s="24">
        <v>6.4330047462577587E-3</v>
      </c>
      <c r="J26" s="25">
        <f t="shared" si="0"/>
        <v>241682.09528014401</v>
      </c>
      <c r="K26" s="26">
        <v>4.8688920266986109E-3</v>
      </c>
      <c r="L26" s="26">
        <v>3.5463516795629663E-3</v>
      </c>
      <c r="M26" s="15">
        <f t="shared" si="1"/>
        <v>0</v>
      </c>
      <c r="O26" s="15">
        <f t="shared" si="2"/>
        <v>150000</v>
      </c>
      <c r="P26" s="15">
        <f t="shared" si="4"/>
        <v>8237.641113815791</v>
      </c>
      <c r="Q26" s="15">
        <f t="shared" si="5"/>
        <v>399919.73639395979</v>
      </c>
      <c r="R26" s="27">
        <f t="shared" si="6"/>
        <v>7.9983947278791986E-3</v>
      </c>
    </row>
    <row r="27" spans="1:18" x14ac:dyDescent="0.25">
      <c r="A27" s="22" t="s">
        <v>46</v>
      </c>
      <c r="B27" s="12">
        <f>VLOOKUP(A27,[1]Population!$B$1:$D$65,3,FALSE)</f>
        <v>15734</v>
      </c>
      <c r="C27" s="23">
        <f t="shared" si="3"/>
        <v>2.7321967876283962E-3</v>
      </c>
      <c r="D27" s="23">
        <f>VLOOKUP(A27,[1]MAP!$A$2:$N$66,11,FALSE)</f>
        <v>1.0656449861916827E-3</v>
      </c>
      <c r="E27" s="23">
        <f>VLOOKUP(A27,[1]MAP!$A$2:$N$66,9,FALSE)</f>
        <v>0.12398778707022434</v>
      </c>
      <c r="F27" s="1" t="str">
        <f>IFERROR(VLOOKUP($A27,'[1]Distressed and Underserved'!$A$3:$K$28,7,FALSE),"")</f>
        <v xml:space="preserve"> </v>
      </c>
      <c r="G27" s="1" t="str">
        <f>IFERROR(VLOOKUP($A27,'[1]Distressed and Underserved'!$A$3:$K$28,8,FALSE),"")</f>
        <v>X</v>
      </c>
      <c r="H27" s="12">
        <v>771</v>
      </c>
      <c r="I27" s="24">
        <v>5.6297918948521354E-3</v>
      </c>
      <c r="J27" s="25">
        <f t="shared" si="0"/>
        <v>211506.12424630081</v>
      </c>
      <c r="K27" s="26">
        <v>4.4691979829725578E-3</v>
      </c>
      <c r="L27" s="26">
        <v>3.3083080661418314E-3</v>
      </c>
      <c r="M27" s="15">
        <f t="shared" si="1"/>
        <v>0</v>
      </c>
      <c r="O27" s="15">
        <f t="shared" si="2"/>
        <v>150000</v>
      </c>
      <c r="P27" s="15">
        <f t="shared" si="4"/>
        <v>5328.2249309584131</v>
      </c>
      <c r="Q27" s="15">
        <f t="shared" si="5"/>
        <v>366834.3491772592</v>
      </c>
      <c r="R27" s="27">
        <f t="shared" si="6"/>
        <v>7.3366869835451865E-3</v>
      </c>
    </row>
    <row r="28" spans="1:18" x14ac:dyDescent="0.25">
      <c r="A28" s="22" t="s">
        <v>47</v>
      </c>
      <c r="B28" s="12">
        <f>VLOOKUP(A28,[1]Population!$B$1:$D$65,3,FALSE)</f>
        <v>47839</v>
      </c>
      <c r="C28" s="23">
        <f t="shared" si="3"/>
        <v>8.3072049144117741E-3</v>
      </c>
      <c r="D28" s="23">
        <f>VLOOKUP(A28,[1]MAP!$A$2:$N$66,11,FALSE)</f>
        <v>5.5780924384273411E-3</v>
      </c>
      <c r="E28" s="23">
        <f>VLOOKUP(A28,[1]MAP!$A$2:$N$66,9,FALSE)</f>
        <v>0.20803370069358751</v>
      </c>
      <c r="F28" s="1" t="str">
        <f>IFERROR(VLOOKUP($A28,'[1]Distressed and Underserved'!$A$3:$K$28,7,FALSE),"")</f>
        <v/>
      </c>
      <c r="G28" s="1" t="str">
        <f>IFERROR(VLOOKUP($A28,'[1]Distressed and Underserved'!$A$3:$K$28,8,FALSE),"")</f>
        <v/>
      </c>
      <c r="H28" s="12">
        <v>732</v>
      </c>
      <c r="I28" s="24">
        <v>5.3450164293537784E-3</v>
      </c>
      <c r="J28" s="25">
        <f t="shared" si="0"/>
        <v>200807.3708797564</v>
      </c>
      <c r="K28" s="26">
        <v>5.1972121340450109E-3</v>
      </c>
      <c r="L28" s="26">
        <v>3.2605837482238931E-3</v>
      </c>
      <c r="M28" s="15">
        <f t="shared" si="1"/>
        <v>0</v>
      </c>
      <c r="O28" s="15">
        <f t="shared" si="2"/>
        <v>0</v>
      </c>
      <c r="P28" s="15">
        <f t="shared" si="4"/>
        <v>27890.462192136707</v>
      </c>
      <c r="Q28" s="15">
        <f t="shared" si="5"/>
        <v>228697.83307189311</v>
      </c>
      <c r="R28" s="27">
        <f t="shared" si="6"/>
        <v>4.5739566614378634E-3</v>
      </c>
    </row>
    <row r="29" spans="1:18" x14ac:dyDescent="0.25">
      <c r="A29" s="22" t="s">
        <v>48</v>
      </c>
      <c r="B29" s="12">
        <f>VLOOKUP(A29,[1]Population!$B$1:$D$65,3,FALSE)</f>
        <v>31162</v>
      </c>
      <c r="C29" s="23">
        <f t="shared" si="3"/>
        <v>5.4112569147118398E-3</v>
      </c>
      <c r="D29" s="23">
        <f>VLOOKUP(A29,[1]MAP!$A$2:$N$66,11,FALSE)</f>
        <v>3.2157605926994193E-3</v>
      </c>
      <c r="E29" s="23">
        <f>VLOOKUP(A29,[1]MAP!$A$2:$N$66,9,FALSE)</f>
        <v>0.1857575957292559</v>
      </c>
      <c r="F29" s="1" t="str">
        <f>IFERROR(VLOOKUP($A29,'[1]Distressed and Underserved'!$A$3:$K$28,7,FALSE),"")</f>
        <v/>
      </c>
      <c r="G29" s="1" t="str">
        <f>IFERROR(VLOOKUP($A29,'[1]Distressed and Underserved'!$A$3:$K$28,8,FALSE),"")</f>
        <v/>
      </c>
      <c r="H29" s="12">
        <v>730</v>
      </c>
      <c r="I29" s="24">
        <v>5.3304125593282223E-3</v>
      </c>
      <c r="J29" s="25">
        <f t="shared" si="0"/>
        <v>200258.71686095928</v>
      </c>
      <c r="K29" s="26">
        <v>4.5833962811800012E-3</v>
      </c>
      <c r="L29" s="26">
        <v>3.0780808923335534E-3</v>
      </c>
      <c r="M29" s="15">
        <f t="shared" si="1"/>
        <v>0</v>
      </c>
      <c r="O29" s="15">
        <f t="shared" si="2"/>
        <v>0</v>
      </c>
      <c r="P29" s="15">
        <f t="shared" si="4"/>
        <v>16078.802963497097</v>
      </c>
      <c r="Q29" s="15">
        <f t="shared" si="5"/>
        <v>216337.51982445637</v>
      </c>
      <c r="R29" s="27">
        <f t="shared" si="6"/>
        <v>4.3267503964891287E-3</v>
      </c>
    </row>
    <row r="30" spans="1:18" x14ac:dyDescent="0.25">
      <c r="A30" s="22" t="s">
        <v>49</v>
      </c>
      <c r="B30" s="12">
        <f>VLOOKUP(A30,[1]Population!$B$1:$D$65,3,FALSE)</f>
        <v>26183</v>
      </c>
      <c r="C30" s="23">
        <f t="shared" si="3"/>
        <v>4.5466574609428177E-3</v>
      </c>
      <c r="D30" s="23">
        <f>VLOOKUP(A30,[1]MAP!$A$2:$N$66,11,FALSE)</f>
        <v>4.0400951778423429E-3</v>
      </c>
      <c r="E30" s="23">
        <f>VLOOKUP(A30,[1]MAP!$A$2:$N$66,9,FALSE)</f>
        <v>0.27334130996950867</v>
      </c>
      <c r="F30" s="1" t="str">
        <f>IFERROR(VLOOKUP($A30,'[1]Distressed and Underserved'!$A$3:$K$28,7,FALSE),"")</f>
        <v/>
      </c>
      <c r="G30" s="1" t="str">
        <f>IFERROR(VLOOKUP($A30,'[1]Distressed and Underserved'!$A$3:$K$28,8,FALSE),"")</f>
        <v/>
      </c>
      <c r="H30" s="12">
        <v>642</v>
      </c>
      <c r="I30" s="24">
        <v>4.6878422782037242E-3</v>
      </c>
      <c r="J30" s="25">
        <f t="shared" si="0"/>
        <v>176117.94003388475</v>
      </c>
      <c r="K30" s="26">
        <v>4.8141720088075435E-3</v>
      </c>
      <c r="L30" s="26">
        <v>3.5541405965011305E-3</v>
      </c>
      <c r="M30" s="15">
        <f t="shared" si="1"/>
        <v>3681.5840769035276</v>
      </c>
      <c r="N30" s="15"/>
      <c r="O30" s="15">
        <f t="shared" si="2"/>
        <v>0</v>
      </c>
      <c r="P30" s="15">
        <f t="shared" si="4"/>
        <v>20200.475889211713</v>
      </c>
      <c r="Q30" s="15">
        <f t="shared" si="5"/>
        <v>200000</v>
      </c>
      <c r="R30" s="27">
        <f t="shared" si="6"/>
        <v>4.000000000000001E-3</v>
      </c>
    </row>
    <row r="31" spans="1:18" x14ac:dyDescent="0.25">
      <c r="A31" s="22" t="s">
        <v>50</v>
      </c>
      <c r="B31" s="12">
        <f>VLOOKUP(A31,[1]Population!$B$1:$D$65,3,FALSE)</f>
        <v>25388</v>
      </c>
      <c r="C31" s="23">
        <f t="shared" si="3"/>
        <v>4.4086063330564208E-3</v>
      </c>
      <c r="D31" s="23">
        <f>VLOOKUP(A31,[1]MAP!$A$2:$N$66,11,FALSE)</f>
        <v>1.4935003072001204E-3</v>
      </c>
      <c r="E31" s="23">
        <f>VLOOKUP(A31,[1]MAP!$A$2:$N$66,9,FALSE)</f>
        <v>0.10857213950980799</v>
      </c>
      <c r="F31" s="1" t="str">
        <f>IFERROR(VLOOKUP($A31,'[1]Distressed and Underserved'!$A$3:$K$28,7,FALSE),"")</f>
        <v/>
      </c>
      <c r="G31" s="1" t="str">
        <f>IFERROR(VLOOKUP($A31,'[1]Distressed and Underserved'!$A$3:$K$28,8,FALSE),"")</f>
        <v/>
      </c>
      <c r="H31" s="12">
        <v>637</v>
      </c>
      <c r="I31" s="24">
        <v>4.6513326031398317E-3</v>
      </c>
      <c r="J31" s="25">
        <f t="shared" si="0"/>
        <v>174746.30498689186</v>
      </c>
      <c r="K31" s="26">
        <v>3.1202305853971304E-3</v>
      </c>
      <c r="L31" s="26">
        <v>2.2417218537578278E-3</v>
      </c>
      <c r="M31" s="15">
        <f t="shared" si="1"/>
        <v>17786.193477107532</v>
      </c>
      <c r="N31" s="15"/>
      <c r="O31" s="15">
        <f t="shared" si="2"/>
        <v>0</v>
      </c>
      <c r="P31" s="15">
        <f t="shared" si="4"/>
        <v>7467.5015360006018</v>
      </c>
      <c r="Q31" s="15">
        <f t="shared" si="5"/>
        <v>200000</v>
      </c>
      <c r="R31" s="27">
        <f t="shared" si="6"/>
        <v>4.000000000000001E-3</v>
      </c>
    </row>
    <row r="32" spans="1:18" x14ac:dyDescent="0.25">
      <c r="A32" s="22" t="s">
        <v>51</v>
      </c>
      <c r="B32" s="12">
        <f>VLOOKUP(A32,[1]Population!$B$1:$D$65,3,FALSE)</f>
        <v>26729</v>
      </c>
      <c r="C32" s="23">
        <f t="shared" si="3"/>
        <v>4.6414699336798908E-3</v>
      </c>
      <c r="D32" s="23">
        <f>VLOOKUP(A32,[1]MAP!$A$2:$N$66,11,FALSE)</f>
        <v>1.5904808466286997E-3</v>
      </c>
      <c r="E32" s="23">
        <f>VLOOKUP(A32,[1]MAP!$A$2:$N$66,9,FALSE)</f>
        <v>0.11080200302042763</v>
      </c>
      <c r="F32" s="1" t="str">
        <f>IFERROR(VLOOKUP($A32,'[1]Distressed and Underserved'!$A$3:$K$28,7,FALSE),"")</f>
        <v/>
      </c>
      <c r="G32" s="1" t="str">
        <f>IFERROR(VLOOKUP($A32,'[1]Distressed and Underserved'!$A$3:$K$28,8,FALSE),"")</f>
        <v/>
      </c>
      <c r="H32" s="12">
        <v>585</v>
      </c>
      <c r="I32" s="24">
        <v>4.271631982475356E-3</v>
      </c>
      <c r="J32" s="25">
        <f t="shared" si="0"/>
        <v>160481.30049816601</v>
      </c>
      <c r="K32" s="26">
        <v>2.4624008050980022E-3</v>
      </c>
      <c r="L32" s="26">
        <v>2.3546473880238605E-3</v>
      </c>
      <c r="M32" s="15">
        <f t="shared" si="1"/>
        <v>31566.295268690505</v>
      </c>
      <c r="N32" s="15"/>
      <c r="O32" s="15">
        <f t="shared" si="2"/>
        <v>0</v>
      </c>
      <c r="P32" s="15">
        <f t="shared" si="4"/>
        <v>7952.4042331434985</v>
      </c>
      <c r="Q32" s="15">
        <f t="shared" si="5"/>
        <v>200000</v>
      </c>
      <c r="R32" s="27">
        <f t="shared" si="6"/>
        <v>4.000000000000001E-3</v>
      </c>
    </row>
    <row r="33" spans="1:18" x14ac:dyDescent="0.25">
      <c r="A33" s="22" t="s">
        <v>52</v>
      </c>
      <c r="B33" s="12">
        <f>VLOOKUP(A33,[1]Population!$B$1:$D$65,3,FALSE)</f>
        <v>8179</v>
      </c>
      <c r="C33" s="23">
        <f t="shared" si="3"/>
        <v>1.4202769496639541E-3</v>
      </c>
      <c r="D33" s="23">
        <f>VLOOKUP(A33,[1]MAP!$A$2:$N$66,11,FALSE)</f>
        <v>6.1782308353618425E-4</v>
      </c>
      <c r="E33" s="23">
        <f>VLOOKUP(A33,[1]MAP!$A$2:$N$66,9,FALSE)</f>
        <v>0.13591867469879518</v>
      </c>
      <c r="F33" s="1" t="str">
        <f>IFERROR(VLOOKUP($A33,'[1]Distressed and Underserved'!$A$3:$K$28,7,FALSE),"")</f>
        <v xml:space="preserve"> </v>
      </c>
      <c r="G33" s="1" t="str">
        <f>IFERROR(VLOOKUP($A33,'[1]Distressed and Underserved'!$A$3:$K$28,8,FALSE),"")</f>
        <v>X</v>
      </c>
      <c r="H33" s="12">
        <v>572</v>
      </c>
      <c r="I33" s="24">
        <v>4.1767068273092373E-3</v>
      </c>
      <c r="J33" s="25">
        <f t="shared" si="0"/>
        <v>156915.04937598456</v>
      </c>
      <c r="K33" s="26">
        <v>3.5877298686838527E-3</v>
      </c>
      <c r="L33" s="26">
        <v>3.148979302343132E-3</v>
      </c>
      <c r="M33" s="15">
        <f t="shared" si="1"/>
        <v>0</v>
      </c>
      <c r="N33" s="15"/>
      <c r="O33" s="15">
        <f t="shared" si="2"/>
        <v>150000</v>
      </c>
      <c r="P33" s="15">
        <f t="shared" si="4"/>
        <v>3089.1154176809214</v>
      </c>
      <c r="Q33" s="15">
        <f t="shared" si="5"/>
        <v>310004.16479366552</v>
      </c>
      <c r="R33" s="27">
        <f t="shared" si="6"/>
        <v>6.2000832958733123E-3</v>
      </c>
    </row>
    <row r="34" spans="1:18" x14ac:dyDescent="0.25">
      <c r="A34" s="22" t="s">
        <v>53</v>
      </c>
      <c r="B34" s="12">
        <f>VLOOKUP(A34,[1]Population!$B$1:$D$65,3,FALSE)</f>
        <v>29068</v>
      </c>
      <c r="C34" s="23">
        <f t="shared" si="3"/>
        <v>5.047635453335593E-3</v>
      </c>
      <c r="D34" s="23">
        <f>VLOOKUP(A34,[1]MAP!$A$2:$N$66,11,FALSE)</f>
        <v>6.6540059523232256E-3</v>
      </c>
      <c r="E34" s="23">
        <f>VLOOKUP(A34,[1]MAP!$A$2:$N$66,9,FALSE)</f>
        <v>0.41278267331988533</v>
      </c>
      <c r="F34" s="1" t="str">
        <f>IFERROR(VLOOKUP($A34,'[1]Distressed and Underserved'!$A$3:$K$28,7,FALSE),"")</f>
        <v/>
      </c>
      <c r="G34" s="1" t="str">
        <f>IFERROR(VLOOKUP($A34,'[1]Distressed and Underserved'!$A$3:$K$28,8,FALSE),"")</f>
        <v/>
      </c>
      <c r="H34" s="12">
        <v>559</v>
      </c>
      <c r="I34" s="24">
        <v>4.0817816721431177E-3</v>
      </c>
      <c r="J34" s="25">
        <f t="shared" si="0"/>
        <v>153348.79825380305</v>
      </c>
      <c r="K34" s="26">
        <v>3.9445995505821138E-3</v>
      </c>
      <c r="L34" s="26">
        <v>3.1373922562973116E-3</v>
      </c>
      <c r="M34" s="15">
        <f t="shared" si="1"/>
        <v>13381.171984580811</v>
      </c>
      <c r="N34" s="15"/>
      <c r="O34" s="15">
        <f t="shared" si="2"/>
        <v>0</v>
      </c>
      <c r="P34" s="15">
        <f t="shared" si="4"/>
        <v>33270.029761616126</v>
      </c>
      <c r="Q34" s="15">
        <f t="shared" si="5"/>
        <v>200000</v>
      </c>
      <c r="R34" s="27">
        <f t="shared" si="6"/>
        <v>4.000000000000001E-3</v>
      </c>
    </row>
    <row r="35" spans="1:18" x14ac:dyDescent="0.25">
      <c r="A35" s="22" t="s">
        <v>54</v>
      </c>
      <c r="B35" s="12">
        <f>VLOOKUP(A35,[1]Population!$B$1:$D$65,3,FALSE)</f>
        <v>14029</v>
      </c>
      <c r="C35" s="23">
        <f t="shared" si="3"/>
        <v>2.4361248718468777E-3</v>
      </c>
      <c r="D35" s="23">
        <f>VLOOKUP(A35,[1]MAP!$A$2:$N$66,11,FALSE)</f>
        <v>1.721689811737954E-3</v>
      </c>
      <c r="E35" s="23">
        <f>VLOOKUP(A35,[1]MAP!$A$2:$N$66,9,FALSE)</f>
        <v>0.2338084908583824</v>
      </c>
      <c r="F35" s="1" t="str">
        <f>IFERROR(VLOOKUP($A35,'[1]Distressed and Underserved'!$A$3:$K$28,7,FALSE),"")</f>
        <v xml:space="preserve"> </v>
      </c>
      <c r="G35" s="1" t="str">
        <f>IFERROR(VLOOKUP($A35,'[1]Distressed and Underserved'!$A$3:$K$28,8,FALSE),"")</f>
        <v>X</v>
      </c>
      <c r="H35" s="12">
        <v>483</v>
      </c>
      <c r="I35" s="24">
        <v>3.5268346111719607E-3</v>
      </c>
      <c r="J35" s="25">
        <f t="shared" si="0"/>
        <v>132499.94553951142</v>
      </c>
      <c r="K35" s="26">
        <v>2.62775042437753E-3</v>
      </c>
      <c r="L35" s="26">
        <v>1.8356247886602618E-3</v>
      </c>
      <c r="M35" s="15">
        <f t="shared" si="1"/>
        <v>0</v>
      </c>
      <c r="N35" s="15"/>
      <c r="O35" s="15">
        <f t="shared" si="2"/>
        <v>150000</v>
      </c>
      <c r="P35" s="15">
        <f t="shared" si="4"/>
        <v>8608.44905868977</v>
      </c>
      <c r="Q35" s="15">
        <f t="shared" si="5"/>
        <v>291108.39459820115</v>
      </c>
      <c r="R35" s="27">
        <f t="shared" si="6"/>
        <v>5.8221678919640248E-3</v>
      </c>
    </row>
    <row r="36" spans="1:18" x14ac:dyDescent="0.25">
      <c r="A36" s="22" t="s">
        <v>55</v>
      </c>
      <c r="B36" s="12">
        <f>VLOOKUP(A36,[1]Population!$B$1:$D$65,3,FALSE)</f>
        <v>22409</v>
      </c>
      <c r="C36" s="23">
        <f t="shared" si="3"/>
        <v>3.8913053142217318E-3</v>
      </c>
      <c r="D36" s="23">
        <f>VLOOKUP(A36,[1]MAP!$A$2:$N$66,11,FALSE)</f>
        <v>2.7491130559195495E-3</v>
      </c>
      <c r="E36" s="23">
        <f>VLOOKUP(A36,[1]MAP!$A$2:$N$66,9,FALSE)</f>
        <v>0.22218636175019596</v>
      </c>
      <c r="F36" s="1" t="str">
        <f>IFERROR(VLOOKUP($A36,'[1]Distressed and Underserved'!$A$3:$K$28,7,FALSE),"")</f>
        <v/>
      </c>
      <c r="G36" s="1" t="str">
        <f>IFERROR(VLOOKUP($A36,'[1]Distressed and Underserved'!$A$3:$K$28,8,FALSE),"")</f>
        <v/>
      </c>
      <c r="H36" s="12">
        <v>455</v>
      </c>
      <c r="I36" s="24">
        <v>3.3223804308141658E-3</v>
      </c>
      <c r="J36" s="25">
        <f t="shared" si="0"/>
        <v>124818.78927635134</v>
      </c>
      <c r="K36" s="26">
        <v>3.2796323766450205E-3</v>
      </c>
      <c r="L36" s="26">
        <v>2.3570969060715515E-3</v>
      </c>
      <c r="M36" s="15">
        <f t="shared" si="1"/>
        <v>61435.645444050926</v>
      </c>
      <c r="N36" s="15"/>
      <c r="O36" s="15">
        <f t="shared" si="2"/>
        <v>0</v>
      </c>
      <c r="P36" s="15">
        <f t="shared" si="4"/>
        <v>13745.565279597748</v>
      </c>
      <c r="Q36" s="15">
        <f t="shared" si="5"/>
        <v>200000</v>
      </c>
      <c r="R36" s="27">
        <f t="shared" si="6"/>
        <v>4.000000000000001E-3</v>
      </c>
    </row>
    <row r="37" spans="1:18" x14ac:dyDescent="0.25">
      <c r="A37" s="22" t="s">
        <v>56</v>
      </c>
      <c r="B37" s="12">
        <f>VLOOKUP(A37,[1]Population!$B$1:$D$65,3,FALSE)</f>
        <v>18845</v>
      </c>
      <c r="C37" s="23">
        <f t="shared" si="3"/>
        <v>3.272419503168751E-3</v>
      </c>
      <c r="D37" s="23">
        <f>VLOOKUP(A37,[1]MAP!$A$2:$N$66,11,FALSE)</f>
        <v>1.0753430401345405E-3</v>
      </c>
      <c r="E37" s="23">
        <f>VLOOKUP(A37,[1]MAP!$A$2:$N$66,9,FALSE)</f>
        <v>0.10838316467341307</v>
      </c>
      <c r="F37" s="1" t="str">
        <f>IFERROR(VLOOKUP($A37,'[1]Distressed and Underserved'!$A$3:$K$28,7,FALSE),"")</f>
        <v/>
      </c>
      <c r="G37" s="1" t="str">
        <f>IFERROR(VLOOKUP($A37,'[1]Distressed and Underserved'!$A$3:$K$28,8,FALSE),"")</f>
        <v/>
      </c>
      <c r="H37" s="12">
        <v>448</v>
      </c>
      <c r="I37" s="24">
        <v>3.2712668857247172E-3</v>
      </c>
      <c r="J37" s="25">
        <f t="shared" si="0"/>
        <v>122898.50021056131</v>
      </c>
      <c r="K37" s="26">
        <v>1.5880700844472624E-3</v>
      </c>
      <c r="L37" s="26">
        <v>1.2528596747073059E-3</v>
      </c>
      <c r="M37" s="15">
        <f t="shared" si="1"/>
        <v>71724.784588765993</v>
      </c>
      <c r="N37" s="15"/>
      <c r="O37" s="15">
        <f t="shared" si="2"/>
        <v>0</v>
      </c>
      <c r="P37" s="15">
        <f t="shared" si="4"/>
        <v>5376.7152006727028</v>
      </c>
      <c r="Q37" s="15">
        <f t="shared" si="5"/>
        <v>200000.00000000003</v>
      </c>
      <c r="R37" s="27">
        <f t="shared" si="6"/>
        <v>4.0000000000000018E-3</v>
      </c>
    </row>
    <row r="38" spans="1:18" x14ac:dyDescent="0.25">
      <c r="A38" s="22" t="s">
        <v>57</v>
      </c>
      <c r="B38" s="12">
        <f>VLOOKUP(A38,[1]Population!$B$1:$D$65,3,FALSE)</f>
        <v>16233</v>
      </c>
      <c r="C38" s="23">
        <f t="shared" si="3"/>
        <v>2.8188477471445123E-3</v>
      </c>
      <c r="D38" s="23">
        <f>VLOOKUP(A38,[1]MAP!$A$2:$N$66,11,FALSE)</f>
        <v>4.8513088664743406E-3</v>
      </c>
      <c r="E38" s="23">
        <f>VLOOKUP(A38,[1]MAP!$A$2:$N$66,9,FALSE)</f>
        <v>0.51714911213816595</v>
      </c>
      <c r="F38" s="1" t="str">
        <f>IFERROR(VLOOKUP($A38,'[1]Distressed and Underserved'!$A$3:$K$28,7,FALSE),"")</f>
        <v>X</v>
      </c>
      <c r="G38" s="1" t="str">
        <f>IFERROR(VLOOKUP($A38,'[1]Distressed and Underserved'!$A$3:$K$28,8,FALSE),"")</f>
        <v>X</v>
      </c>
      <c r="H38" s="12">
        <v>395</v>
      </c>
      <c r="I38" s="24">
        <v>2.8842643300474625E-3</v>
      </c>
      <c r="J38" s="25">
        <f t="shared" si="0"/>
        <v>108359.16871243686</v>
      </c>
      <c r="K38" s="26">
        <v>3.694790773253331E-3</v>
      </c>
      <c r="L38" s="26">
        <v>2.6538463846131955E-3</v>
      </c>
      <c r="M38" s="15">
        <f t="shared" si="1"/>
        <v>0</v>
      </c>
      <c r="N38" s="15"/>
      <c r="O38" s="15">
        <f t="shared" si="2"/>
        <v>300000</v>
      </c>
      <c r="P38" s="15">
        <f t="shared" si="4"/>
        <v>24256.544332371705</v>
      </c>
      <c r="Q38" s="15">
        <f t="shared" si="5"/>
        <v>432615.7130448086</v>
      </c>
      <c r="R38" s="27">
        <f t="shared" si="6"/>
        <v>8.6523142608961739E-3</v>
      </c>
    </row>
    <row r="39" spans="1:18" x14ac:dyDescent="0.25">
      <c r="A39" s="22" t="s">
        <v>58</v>
      </c>
      <c r="B39" s="12">
        <f>VLOOKUP(A39,[1]Population!$B$1:$D$65,3,FALSE)</f>
        <v>13283</v>
      </c>
      <c r="C39" s="23">
        <f t="shared" si="3"/>
        <v>2.3065825556163712E-3</v>
      </c>
      <c r="D39" s="23">
        <f>VLOOKUP(A39,[1]MAP!$A$2:$N$66,11,FALSE)</f>
        <v>1.40507687419171E-3</v>
      </c>
      <c r="E39" s="23">
        <f>VLOOKUP(A39,[1]MAP!$A$2:$N$66,9,FALSE)</f>
        <v>0.18859111791730473</v>
      </c>
      <c r="F39" s="1" t="str">
        <f>IFERROR(VLOOKUP($A39,'[1]Distressed and Underserved'!$A$3:$K$28,7,FALSE),"")</f>
        <v/>
      </c>
      <c r="G39" s="1" t="str">
        <f>IFERROR(VLOOKUP($A39,'[1]Distressed and Underserved'!$A$3:$K$28,8,FALSE),"")</f>
        <v/>
      </c>
      <c r="H39" s="12">
        <v>335</v>
      </c>
      <c r="I39" s="24">
        <v>2.4461482292807593E-3</v>
      </c>
      <c r="J39" s="25">
        <f t="shared" si="0"/>
        <v>91899.548148522401</v>
      </c>
      <c r="K39" s="26">
        <v>1.9532667255898165E-3</v>
      </c>
      <c r="L39" s="26">
        <v>1.5497467666224158E-3</v>
      </c>
      <c r="M39" s="15">
        <f t="shared" si="1"/>
        <v>101075.06748051905</v>
      </c>
      <c r="N39" s="15"/>
      <c r="O39" s="15">
        <f t="shared" si="2"/>
        <v>0</v>
      </c>
      <c r="P39" s="15">
        <f t="shared" si="4"/>
        <v>7025.3843709585499</v>
      </c>
      <c r="Q39" s="15">
        <f t="shared" si="5"/>
        <v>200000</v>
      </c>
      <c r="R39" s="27">
        <f t="shared" si="6"/>
        <v>4.000000000000001E-3</v>
      </c>
    </row>
    <row r="40" spans="1:18" x14ac:dyDescent="0.25">
      <c r="A40" s="22" t="s">
        <v>59</v>
      </c>
      <c r="B40" s="12">
        <f>VLOOKUP(A40,[1]Population!$B$1:$D$65,3,FALSE)</f>
        <v>10019</v>
      </c>
      <c r="C40" s="23">
        <f t="shared" si="3"/>
        <v>1.7397915098035402E-3</v>
      </c>
      <c r="D40" s="23">
        <f>VLOOKUP(A40,[1]MAP!$A$2:$N$66,11,FALSE)</f>
        <v>1.4204796657480137E-3</v>
      </c>
      <c r="E40" s="23">
        <f>VLOOKUP(A40,[1]MAP!$A$2:$N$66,9,FALSE)</f>
        <v>0.24729367365180258</v>
      </c>
      <c r="F40" s="1" t="str">
        <f>IFERROR(VLOOKUP($A40,'[1]Distressed and Underserved'!$A$3:$K$28,7,FALSE),"")</f>
        <v xml:space="preserve"> </v>
      </c>
      <c r="G40" s="1" t="str">
        <f>IFERROR(VLOOKUP($A40,'[1]Distressed and Underserved'!$A$3:$K$28,8,FALSE),"")</f>
        <v>X</v>
      </c>
      <c r="H40" s="12">
        <v>332</v>
      </c>
      <c r="I40" s="24">
        <v>2.4242424242424242E-3</v>
      </c>
      <c r="J40" s="25">
        <f t="shared" si="0"/>
        <v>91076.567120326683</v>
      </c>
      <c r="K40" s="26">
        <v>1.9604041192277815E-3</v>
      </c>
      <c r="L40" s="26">
        <v>1.4189039711311362E-3</v>
      </c>
      <c r="M40" s="15">
        <f t="shared" si="1"/>
        <v>0</v>
      </c>
      <c r="N40" s="15"/>
      <c r="O40" s="15">
        <f t="shared" si="2"/>
        <v>150000</v>
      </c>
      <c r="P40" s="15">
        <f t="shared" si="4"/>
        <v>7102.3983287400688</v>
      </c>
      <c r="Q40" s="15">
        <f t="shared" si="5"/>
        <v>248178.96544906675</v>
      </c>
      <c r="R40" s="27">
        <f t="shared" si="6"/>
        <v>4.9635793089813363E-3</v>
      </c>
    </row>
    <row r="41" spans="1:18" x14ac:dyDescent="0.25">
      <c r="A41" s="22" t="s">
        <v>60</v>
      </c>
      <c r="B41" s="12">
        <f>VLOOKUP(A41,[1]Population!$B$1:$D$65,3,FALSE)</f>
        <v>9700</v>
      </c>
      <c r="C41" s="23">
        <f t="shared" si="3"/>
        <v>1.6843974094315141E-3</v>
      </c>
      <c r="D41" s="23">
        <f>VLOOKUP(A41,[1]MAP!$A$2:$N$66,11,FALSE)</f>
        <v>5.7731944648071879E-4</v>
      </c>
      <c r="E41" s="23">
        <f>VLOOKUP(A41,[1]MAP!$A$2:$N$66,9,FALSE)</f>
        <v>0.10790062906493229</v>
      </c>
      <c r="F41" s="1" t="str">
        <f>IFERROR(VLOOKUP($A41,'[1]Distressed and Underserved'!$A$3:$K$28,7,FALSE),"")</f>
        <v/>
      </c>
      <c r="G41" s="1" t="str">
        <f>IFERROR(VLOOKUP($A41,'[1]Distressed and Underserved'!$A$3:$K$28,8,FALSE),"")</f>
        <v/>
      </c>
      <c r="H41" s="12">
        <v>328</v>
      </c>
      <c r="I41" s="24">
        <v>2.3950346841913107E-3</v>
      </c>
      <c r="J41" s="25">
        <f t="shared" si="0"/>
        <v>89979.259082732387</v>
      </c>
      <c r="K41" s="26">
        <v>1.4584074333575609E-3</v>
      </c>
      <c r="L41" s="26">
        <v>1.1167325256749398E-3</v>
      </c>
      <c r="M41" s="15">
        <f t="shared" si="1"/>
        <v>107134.14368486402</v>
      </c>
      <c r="N41" s="15"/>
      <c r="O41" s="15">
        <f t="shared" si="2"/>
        <v>0</v>
      </c>
      <c r="P41" s="15">
        <f t="shared" si="4"/>
        <v>2886.5972324035938</v>
      </c>
      <c r="Q41" s="15">
        <f t="shared" si="5"/>
        <v>200000</v>
      </c>
      <c r="R41" s="27">
        <f t="shared" si="6"/>
        <v>4.000000000000001E-3</v>
      </c>
    </row>
    <row r="42" spans="1:18" x14ac:dyDescent="0.25">
      <c r="A42" s="22" t="s">
        <v>61</v>
      </c>
      <c r="B42" s="12">
        <f>VLOOKUP(A42,[1]Population!$B$1:$D$65,3,FALSE)</f>
        <v>18278</v>
      </c>
      <c r="C42" s="23">
        <f t="shared" si="3"/>
        <v>3.1739603968648678E-3</v>
      </c>
      <c r="D42" s="23">
        <f>VLOOKUP(A42,[1]MAP!$A$2:$N$66,11,FALSE)</f>
        <v>4.8267784947365238E-3</v>
      </c>
      <c r="E42" s="23">
        <f>VLOOKUP(A42,[1]MAP!$A$2:$N$66,9,FALSE)</f>
        <v>0.46171896316507505</v>
      </c>
      <c r="F42" s="1" t="str">
        <f>IFERROR(VLOOKUP($A42,'[1]Distressed and Underserved'!$A$3:$K$28,7,FALSE),"")</f>
        <v>X</v>
      </c>
      <c r="G42" s="1" t="str">
        <f>IFERROR(VLOOKUP($A42,'[1]Distressed and Underserved'!$A$3:$K$28,8,FALSE),"")</f>
        <v xml:space="preserve"> </v>
      </c>
      <c r="H42" s="12">
        <v>326</v>
      </c>
      <c r="I42" s="24">
        <v>2.3804308141657541E-3</v>
      </c>
      <c r="J42" s="25">
        <f t="shared" si="0"/>
        <v>89430.605063935247</v>
      </c>
      <c r="K42" s="26">
        <v>2.3957851311436603E-3</v>
      </c>
      <c r="L42" s="26">
        <v>1.5812051837966969E-3</v>
      </c>
      <c r="M42" s="15">
        <f t="shared" si="1"/>
        <v>0</v>
      </c>
      <c r="N42" s="15"/>
      <c r="O42" s="15">
        <f t="shared" si="2"/>
        <v>150000</v>
      </c>
      <c r="P42" s="15">
        <f t="shared" si="4"/>
        <v>24133.892473682619</v>
      </c>
      <c r="Q42" s="15">
        <f t="shared" si="5"/>
        <v>263564.49753761786</v>
      </c>
      <c r="R42" s="27">
        <f t="shared" si="6"/>
        <v>5.271289950752359E-3</v>
      </c>
    </row>
    <row r="43" spans="1:18" x14ac:dyDescent="0.25">
      <c r="A43" s="22" t="s">
        <v>62</v>
      </c>
      <c r="B43" s="12">
        <f>VLOOKUP(A43,[1]Population!$B$1:$D$65,3,FALSE)</f>
        <v>14506</v>
      </c>
      <c r="C43" s="23">
        <f t="shared" si="3"/>
        <v>2.5189555485787157E-3</v>
      </c>
      <c r="D43" s="23">
        <f>VLOOKUP(A43,[1]MAP!$A$2:$N$66,11,FALSE)</f>
        <v>3.8267379910994683E-3</v>
      </c>
      <c r="E43" s="23">
        <f>VLOOKUP(A43,[1]MAP!$A$2:$N$66,9,FALSE)</f>
        <v>0.47309401227166936</v>
      </c>
      <c r="F43" s="1" t="str">
        <f>IFERROR(VLOOKUP($A43,'[1]Distressed and Underserved'!$A$3:$K$28,7,FALSE),"")</f>
        <v>X</v>
      </c>
      <c r="G43" s="1" t="str">
        <f>IFERROR(VLOOKUP($A43,'[1]Distressed and Underserved'!$A$3:$K$28,8,FALSE),"")</f>
        <v>X</v>
      </c>
      <c r="H43" s="12">
        <v>312</v>
      </c>
      <c r="I43" s="24">
        <v>2.2782037239868565E-3</v>
      </c>
      <c r="J43" s="25">
        <f t="shared" si="0"/>
        <v>85590.026932355191</v>
      </c>
      <c r="K43" s="26">
        <v>2.1769050595793933E-3</v>
      </c>
      <c r="L43" s="26">
        <v>1.3492165588080568E-3</v>
      </c>
      <c r="M43" s="15">
        <f t="shared" si="1"/>
        <v>0</v>
      </c>
      <c r="N43" s="15"/>
      <c r="O43" s="15">
        <f t="shared" si="2"/>
        <v>300000</v>
      </c>
      <c r="P43" s="15">
        <f t="shared" si="4"/>
        <v>19133.689955497342</v>
      </c>
      <c r="Q43" s="15">
        <f t="shared" si="5"/>
        <v>404723.71688785253</v>
      </c>
      <c r="R43" s="27">
        <f t="shared" si="6"/>
        <v>8.0944743377570523E-3</v>
      </c>
    </row>
    <row r="44" spans="1:18" x14ac:dyDescent="0.25">
      <c r="A44" s="22" t="s">
        <v>63</v>
      </c>
      <c r="B44" s="12">
        <f>VLOOKUP(A44,[1]Population!$B$1:$D$65,3,FALSE)</f>
        <v>11267</v>
      </c>
      <c r="C44" s="23">
        <f t="shared" si="3"/>
        <v>1.9565057332025641E-3</v>
      </c>
      <c r="D44" s="23">
        <f>VLOOKUP(A44,[1]MAP!$A$2:$N$66,11,FALSE)</f>
        <v>3.0982429978624348E-3</v>
      </c>
      <c r="E44" s="23">
        <f>VLOOKUP(A44,[1]MAP!$A$2:$N$66,9,FALSE)</f>
        <v>0.47846004757290106</v>
      </c>
      <c r="F44" s="1" t="str">
        <f>IFERROR(VLOOKUP($A44,'[1]Distressed and Underserved'!$A$3:$K$28,7,FALSE),"")</f>
        <v xml:space="preserve"> </v>
      </c>
      <c r="G44" s="1" t="str">
        <f>IFERROR(VLOOKUP($A44,'[1]Distressed and Underserved'!$A$3:$K$28,8,FALSE),"")</f>
        <v>X</v>
      </c>
      <c r="H44" s="12">
        <v>303</v>
      </c>
      <c r="I44" s="24">
        <v>2.2124863088718509E-3</v>
      </c>
      <c r="J44" s="25">
        <f t="shared" si="0"/>
        <v>83121.083847768023</v>
      </c>
      <c r="K44" s="26">
        <v>2.0757919830415527E-3</v>
      </c>
      <c r="L44" s="26">
        <v>1.5979389700101377E-3</v>
      </c>
      <c r="M44" s="15">
        <f t="shared" si="1"/>
        <v>0</v>
      </c>
      <c r="N44" s="15"/>
      <c r="O44" s="15">
        <f t="shared" si="2"/>
        <v>150000</v>
      </c>
      <c r="P44" s="15">
        <f t="shared" si="4"/>
        <v>15491.214989312173</v>
      </c>
      <c r="Q44" s="15">
        <f t="shared" si="5"/>
        <v>248612.29883708019</v>
      </c>
      <c r="R44" s="27">
        <f t="shared" si="6"/>
        <v>4.9722459767416053E-3</v>
      </c>
    </row>
    <row r="45" spans="1:18" x14ac:dyDescent="0.25">
      <c r="A45" s="22" t="s">
        <v>64</v>
      </c>
      <c r="B45" s="12">
        <f>VLOOKUP(A45,[1]Population!$B$1:$D$65,3,FALSE)</f>
        <v>12172</v>
      </c>
      <c r="C45" s="23">
        <f t="shared" si="3"/>
        <v>2.1136582750103496E-3</v>
      </c>
      <c r="D45" s="23">
        <f>VLOOKUP(A45,[1]MAP!$A$2:$N$66,11,FALSE)</f>
        <v>2.783911955361569E-3</v>
      </c>
      <c r="E45" s="23">
        <f>VLOOKUP(A45,[1]MAP!$A$2:$N$66,9,FALSE)</f>
        <v>0.40491204779289747</v>
      </c>
      <c r="F45" s="1" t="str">
        <f>IFERROR(VLOOKUP($A45,'[1]Distressed and Underserved'!$A$3:$K$28,7,FALSE),"")</f>
        <v>X</v>
      </c>
      <c r="G45" s="1" t="str">
        <f>IFERROR(VLOOKUP($A45,'[1]Distressed and Underserved'!$A$3:$K$28,8,FALSE),"")</f>
        <v>X</v>
      </c>
      <c r="H45" s="12">
        <v>284</v>
      </c>
      <c r="I45" s="24">
        <v>2.0737495436290616E-3</v>
      </c>
      <c r="J45" s="25">
        <f t="shared" si="0"/>
        <v>77908.870669195108</v>
      </c>
      <c r="K45" s="26">
        <v>2.2351937742894428E-3</v>
      </c>
      <c r="L45" s="26">
        <v>1.348033083796251E-3</v>
      </c>
      <c r="M45" s="15">
        <f t="shared" si="1"/>
        <v>0</v>
      </c>
      <c r="N45" s="15"/>
      <c r="O45" s="15">
        <f t="shared" si="2"/>
        <v>300000</v>
      </c>
      <c r="P45" s="15">
        <f t="shared" si="4"/>
        <v>13919.559776807844</v>
      </c>
      <c r="Q45" s="15">
        <f t="shared" si="5"/>
        <v>391828.43044600292</v>
      </c>
      <c r="R45" s="27">
        <f t="shared" si="6"/>
        <v>7.8365686089200606E-3</v>
      </c>
    </row>
    <row r="46" spans="1:18" x14ac:dyDescent="0.25">
      <c r="A46" s="22" t="s">
        <v>65</v>
      </c>
      <c r="B46" s="12">
        <f>VLOOKUP(A46,[1]Population!$B$1:$D$65,3,FALSE)</f>
        <v>4952</v>
      </c>
      <c r="C46" s="23">
        <f t="shared" si="3"/>
        <v>8.5991092489740809E-4</v>
      </c>
      <c r="D46" s="23">
        <f>VLOOKUP(A46,[1]MAP!$A$2:$N$66,11,FALSE)</f>
        <v>1.831220773916114E-4</v>
      </c>
      <c r="E46" s="23">
        <f>VLOOKUP(A46,[1]MAP!$A$2:$N$66,9,FALSE)</f>
        <v>6.7979669631512071E-2</v>
      </c>
      <c r="F46" s="1" t="str">
        <f>IFERROR(VLOOKUP($A46,'[1]Distressed and Underserved'!$A$3:$K$28,7,FALSE),"")</f>
        <v/>
      </c>
      <c r="G46" s="1" t="str">
        <f>IFERROR(VLOOKUP($A46,'[1]Distressed and Underserved'!$A$3:$K$28,8,FALSE),"")</f>
        <v/>
      </c>
      <c r="H46" s="12">
        <v>283</v>
      </c>
      <c r="I46" s="24">
        <v>2.0664476086162831E-3</v>
      </c>
      <c r="J46" s="25">
        <f t="shared" si="0"/>
        <v>77634.543659796531</v>
      </c>
      <c r="K46" s="26">
        <v>1.381085668946271E-3</v>
      </c>
      <c r="L46" s="26">
        <v>1.1657779319781498E-3</v>
      </c>
      <c r="M46" s="15">
        <f t="shared" si="1"/>
        <v>121449.84595324541</v>
      </c>
      <c r="N46" s="15"/>
      <c r="O46" s="15">
        <f t="shared" si="2"/>
        <v>0</v>
      </c>
      <c r="P46" s="15">
        <f t="shared" si="4"/>
        <v>915.61038695805701</v>
      </c>
      <c r="Q46" s="15">
        <f t="shared" si="5"/>
        <v>200000</v>
      </c>
      <c r="R46" s="27">
        <f t="shared" si="6"/>
        <v>4.000000000000001E-3</v>
      </c>
    </row>
    <row r="47" spans="1:18" x14ac:dyDescent="0.25">
      <c r="A47" s="22" t="s">
        <v>66</v>
      </c>
      <c r="B47" s="12">
        <f>VLOOKUP(A47,[1]Population!$B$1:$D$65,3,FALSE)</f>
        <v>7097</v>
      </c>
      <c r="C47" s="23">
        <f t="shared" si="3"/>
        <v>1.23238849636448E-3</v>
      </c>
      <c r="D47" s="23">
        <f>VLOOKUP(A47,[1]MAP!$A$2:$N$66,11,FALSE)</f>
        <v>1.017154716477393E-3</v>
      </c>
      <c r="E47" s="23">
        <f>VLOOKUP(A47,[1]MAP!$A$2:$N$66,9,FALSE)</f>
        <v>0.2335297969875573</v>
      </c>
      <c r="F47" s="1" t="str">
        <f>IFERROR(VLOOKUP($A47,'[1]Distressed and Underserved'!$A$3:$K$28,7,FALSE),"")</f>
        <v xml:space="preserve"> </v>
      </c>
      <c r="G47" s="1" t="str">
        <f>IFERROR(VLOOKUP($A47,'[1]Distressed and Underserved'!$A$3:$K$28,8,FALSE),"")</f>
        <v>X</v>
      </c>
      <c r="H47" s="12">
        <v>227</v>
      </c>
      <c r="I47" s="24">
        <v>1.6575392479006937E-3</v>
      </c>
      <c r="J47" s="25">
        <f t="shared" si="0"/>
        <v>62272.23113347638</v>
      </c>
      <c r="K47" s="26">
        <v>1.5214544104929202E-3</v>
      </c>
      <c r="L47" s="26">
        <v>1.1087234273392307E-3</v>
      </c>
      <c r="M47" s="15">
        <f t="shared" si="1"/>
        <v>0</v>
      </c>
      <c r="N47" s="15"/>
      <c r="O47" s="15">
        <f t="shared" si="2"/>
        <v>150000</v>
      </c>
      <c r="P47" s="15">
        <f t="shared" si="4"/>
        <v>5085.7735823869652</v>
      </c>
      <c r="Q47" s="15">
        <f t="shared" si="5"/>
        <v>217358.00471586332</v>
      </c>
      <c r="R47" s="27">
        <f t="shared" si="6"/>
        <v>4.3471600943172676E-3</v>
      </c>
    </row>
    <row r="48" spans="1:18" x14ac:dyDescent="0.25">
      <c r="A48" s="22" t="s">
        <v>67</v>
      </c>
      <c r="B48" s="12">
        <f>VLOOKUP(A48,[1]Population!$B$1:$D$65,3,FALSE)</f>
        <v>8127</v>
      </c>
      <c r="C48" s="23">
        <f t="shared" si="3"/>
        <v>1.4112471903556614E-3</v>
      </c>
      <c r="D48" s="23">
        <f>VLOOKUP(A48,[1]MAP!$A$2:$N$66,11,FALSE)</f>
        <v>1.4763860943597829E-3</v>
      </c>
      <c r="E48" s="23">
        <f>VLOOKUP(A48,[1]MAP!$A$2:$N$66,9,FALSE)</f>
        <v>0.34119973632168754</v>
      </c>
      <c r="F48" s="1" t="str">
        <f>IFERROR(VLOOKUP($A48,'[1]Distressed and Underserved'!$A$3:$K$28,7,FALSE),"")</f>
        <v/>
      </c>
      <c r="G48" s="1" t="str">
        <f>IFERROR(VLOOKUP($A48,'[1]Distressed and Underserved'!$A$3:$K$28,8,FALSE),"")</f>
        <v/>
      </c>
      <c r="H48" s="12">
        <v>194</v>
      </c>
      <c r="I48" s="24">
        <v>1.416575392479007E-3</v>
      </c>
      <c r="J48" s="25">
        <f t="shared" si="0"/>
        <v>53219.439823323424</v>
      </c>
      <c r="K48" s="26">
        <v>1.1538786381377112E-3</v>
      </c>
      <c r="L48" s="26">
        <v>8.3707462811774796E-4</v>
      </c>
      <c r="M48" s="15">
        <f t="shared" si="1"/>
        <v>139398.62970487768</v>
      </c>
      <c r="N48" s="15"/>
      <c r="O48" s="15">
        <f t="shared" si="2"/>
        <v>0</v>
      </c>
      <c r="P48" s="15">
        <f t="shared" si="4"/>
        <v>7381.9304717989144</v>
      </c>
      <c r="Q48" s="15">
        <f t="shared" si="5"/>
        <v>200000</v>
      </c>
      <c r="R48" s="27">
        <f t="shared" si="6"/>
        <v>4.000000000000001E-3</v>
      </c>
    </row>
    <row r="49" spans="1:18" x14ac:dyDescent="0.25">
      <c r="A49" s="22" t="s">
        <v>68</v>
      </c>
      <c r="B49" s="12">
        <f>VLOOKUP(A49,[1]Population!$B$1:$D$65,3,FALSE)</f>
        <v>6324</v>
      </c>
      <c r="C49" s="23">
        <f t="shared" si="3"/>
        <v>1.0981576512623604E-3</v>
      </c>
      <c r="D49" s="23">
        <f>VLOOKUP(A49,[1]MAP!$A$2:$N$66,11,FALSE)</f>
        <v>5.6077570740172586E-4</v>
      </c>
      <c r="E49" s="23">
        <f>VLOOKUP(A49,[1]MAP!$A$2:$N$66,9,FALSE)</f>
        <v>0.15204949729311679</v>
      </c>
      <c r="F49" s="1" t="str">
        <f>IFERROR(VLOOKUP($A49,'[1]Distressed and Underserved'!$A$3:$K$28,7,FALSE),"")</f>
        <v xml:space="preserve"> </v>
      </c>
      <c r="G49" s="1" t="str">
        <f>IFERROR(VLOOKUP($A49,'[1]Distressed and Underserved'!$A$3:$K$28,8,FALSE),"")</f>
        <v>X</v>
      </c>
      <c r="H49" s="12">
        <v>176</v>
      </c>
      <c r="I49" s="24">
        <v>1.285140562248996E-3</v>
      </c>
      <c r="J49" s="25">
        <f t="shared" si="0"/>
        <v>48281.553654149087</v>
      </c>
      <c r="K49" s="26">
        <v>1.082504701758059E-3</v>
      </c>
      <c r="L49" s="26">
        <v>1.0314672794755322E-3</v>
      </c>
      <c r="M49" s="15">
        <f t="shared" si="1"/>
        <v>0</v>
      </c>
      <c r="N49" s="15"/>
      <c r="O49" s="15">
        <f t="shared" si="2"/>
        <v>150000</v>
      </c>
      <c r="P49" s="15">
        <f t="shared" si="4"/>
        <v>2803.8785370086293</v>
      </c>
      <c r="Q49" s="15">
        <f t="shared" si="5"/>
        <v>201085.43219115771</v>
      </c>
      <c r="R49" s="27">
        <f t="shared" si="6"/>
        <v>4.0217086438231551E-3</v>
      </c>
    </row>
    <row r="50" spans="1:18" x14ac:dyDescent="0.25">
      <c r="A50" s="22" t="s">
        <v>69</v>
      </c>
      <c r="B50" s="12">
        <f>VLOOKUP(A50,[1]Population!$B$1:$D$65,3,FALSE)</f>
        <v>5068</v>
      </c>
      <c r="C50" s="23">
        <f t="shared" si="3"/>
        <v>8.8005423412359932E-4</v>
      </c>
      <c r="D50" s="23">
        <f>VLOOKUP(A50,[1]MAP!$A$2:$N$66,11,FALSE)</f>
        <v>3.9590879037314117E-4</v>
      </c>
      <c r="E50" s="23">
        <f>VLOOKUP(A50,[1]MAP!$A$2:$N$66,9,FALSE)</f>
        <v>0.14956896551724139</v>
      </c>
      <c r="F50" s="1" t="str">
        <f>IFERROR(VLOOKUP($A50,'[1]Distressed and Underserved'!$A$3:$K$28,7,FALSE),"")</f>
        <v/>
      </c>
      <c r="G50" s="1" t="str">
        <f>IFERROR(VLOOKUP($A50,'[1]Distressed and Underserved'!$A$3:$K$28,8,FALSE),"")</f>
        <v/>
      </c>
      <c r="H50" s="12">
        <v>136</v>
      </c>
      <c r="I50" s="24">
        <v>9.9306316173786049E-4</v>
      </c>
      <c r="J50" s="25">
        <f t="shared" si="0"/>
        <v>37308.473278206111</v>
      </c>
      <c r="K50" s="26">
        <v>5.9002454073845854E-4</v>
      </c>
      <c r="L50" s="26">
        <v>4.2910602114104715E-4</v>
      </c>
      <c r="M50" s="15">
        <f t="shared" si="1"/>
        <v>160711.98276992817</v>
      </c>
      <c r="N50" s="15"/>
      <c r="O50" s="15">
        <f t="shared" si="2"/>
        <v>0</v>
      </c>
      <c r="P50" s="15">
        <f t="shared" si="4"/>
        <v>1979.5439518657058</v>
      </c>
      <c r="Q50" s="15">
        <f t="shared" si="5"/>
        <v>199999.99999999997</v>
      </c>
      <c r="R50" s="27">
        <f t="shared" si="6"/>
        <v>4.000000000000001E-3</v>
      </c>
    </row>
    <row r="51" spans="1:18" x14ac:dyDescent="0.25">
      <c r="A51" s="22" t="s">
        <v>70</v>
      </c>
      <c r="B51" s="12">
        <f>VLOOKUP(A51,[1]Population!$B$1:$D$65,3,FALSE)</f>
        <v>6897</v>
      </c>
      <c r="C51" s="23">
        <f t="shared" si="3"/>
        <v>1.1976586528710466E-3</v>
      </c>
      <c r="D51" s="23">
        <f>VLOOKUP(A51,[1]MAP!$A$2:$N$66,11,FALSE)</f>
        <v>1.3674256059429675E-3</v>
      </c>
      <c r="E51" s="23">
        <f>VLOOKUP(A51,[1]MAP!$A$2:$N$66,9,FALSE)</f>
        <v>0.36411970226340573</v>
      </c>
      <c r="F51" s="1" t="str">
        <f>IFERROR(VLOOKUP($A51,'[1]Distressed and Underserved'!$A$3:$K$28,7,FALSE),"")</f>
        <v>X</v>
      </c>
      <c r="G51" s="1" t="str">
        <f>IFERROR(VLOOKUP($A51,'[1]Distressed and Underserved'!$A$3:$K$28,8,FALSE),"")</f>
        <v xml:space="preserve"> </v>
      </c>
      <c r="H51" s="12">
        <v>124</v>
      </c>
      <c r="I51" s="24">
        <v>9.0543994158451995E-4</v>
      </c>
      <c r="J51" s="25">
        <f t="shared" si="0"/>
        <v>34016.549165423225</v>
      </c>
      <c r="K51" s="26">
        <v>6.7091500196873107E-4</v>
      </c>
      <c r="L51" s="26">
        <v>4.5772960282193287E-4</v>
      </c>
      <c r="M51" s="15">
        <f t="shared" si="1"/>
        <v>9146.3228048619349</v>
      </c>
      <c r="N51" s="15"/>
      <c r="O51" s="15">
        <f t="shared" si="2"/>
        <v>150000</v>
      </c>
      <c r="P51" s="15">
        <f t="shared" si="4"/>
        <v>6837.1280297148378</v>
      </c>
      <c r="Q51" s="15">
        <f t="shared" si="5"/>
        <v>200000</v>
      </c>
      <c r="R51" s="27">
        <f t="shared" si="6"/>
        <v>4.000000000000001E-3</v>
      </c>
    </row>
    <row r="52" spans="1:18" x14ac:dyDescent="0.25">
      <c r="A52" s="22" t="s">
        <v>71</v>
      </c>
      <c r="B52" s="12">
        <f>VLOOKUP(A52,[1]Population!$B$1:$D$65,3,FALSE)</f>
        <v>4265</v>
      </c>
      <c r="C52" s="23">
        <f t="shared" si="3"/>
        <v>7.4061391249746473E-4</v>
      </c>
      <c r="D52" s="23">
        <f>VLOOKUP(A52,[1]MAP!$A$2:$N$66,11,FALSE)</f>
        <v>5.9956792317315756E-4</v>
      </c>
      <c r="E52" s="23">
        <f>VLOOKUP(A52,[1]MAP!$A$2:$N$66,9,FALSE)</f>
        <v>0.24339972209356184</v>
      </c>
      <c r="F52" s="1" t="str">
        <f>IFERROR(VLOOKUP($A52,'[1]Distressed and Underserved'!$A$3:$K$28,7,FALSE),"")</f>
        <v xml:space="preserve"> </v>
      </c>
      <c r="G52" s="1" t="str">
        <f>IFERROR(VLOOKUP($A52,'[1]Distressed and Underserved'!$A$3:$K$28,8,FALSE),"")</f>
        <v>X</v>
      </c>
      <c r="H52" s="12">
        <v>117</v>
      </c>
      <c r="I52" s="24">
        <v>8.5432639649507124E-4</v>
      </c>
      <c r="J52" s="25">
        <f t="shared" si="0"/>
        <v>32096.2600996332</v>
      </c>
      <c r="K52" s="26">
        <v>8.0057765305843265E-4</v>
      </c>
      <c r="L52" s="26">
        <v>6.5671854085347489E-4</v>
      </c>
      <c r="M52" s="15">
        <f t="shared" si="1"/>
        <v>14905.900284501025</v>
      </c>
      <c r="N52" s="15"/>
      <c r="O52" s="15">
        <f t="shared" si="2"/>
        <v>150000</v>
      </c>
      <c r="P52" s="15">
        <f t="shared" si="4"/>
        <v>2997.8396158657879</v>
      </c>
      <c r="Q52" s="15">
        <f t="shared" si="5"/>
        <v>200000</v>
      </c>
      <c r="R52" s="27">
        <f t="shared" si="6"/>
        <v>4.000000000000001E-3</v>
      </c>
    </row>
    <row r="53" spans="1:18" x14ac:dyDescent="0.25">
      <c r="A53" s="22" t="s">
        <v>72</v>
      </c>
      <c r="B53" s="12">
        <f>VLOOKUP(A53,[1]Population!$B$1:$D$65,3,FALSE)</f>
        <v>6824</v>
      </c>
      <c r="C53" s="23">
        <f t="shared" si="3"/>
        <v>1.1849822599959436E-3</v>
      </c>
      <c r="D53" s="23">
        <f>VLOOKUP(A53,[1]MAP!$A$2:$N$66,11,FALSE)</f>
        <v>1.5305811016875185E-3</v>
      </c>
      <c r="E53" s="23">
        <f>VLOOKUP(A53,[1]MAP!$A$2:$N$66,9,FALSE)</f>
        <v>0.41481137909709337</v>
      </c>
      <c r="F53" s="1" t="str">
        <f>IFERROR(VLOOKUP($A53,'[1]Distressed and Underserved'!$A$3:$K$28,7,FALSE),"")</f>
        <v/>
      </c>
      <c r="G53" s="1" t="str">
        <f>IFERROR(VLOOKUP($A53,'[1]Distressed and Underserved'!$A$3:$K$28,8,FALSE),"")</f>
        <v/>
      </c>
      <c r="H53" s="12">
        <v>115</v>
      </c>
      <c r="I53" s="24">
        <v>8.3972252646951446E-4</v>
      </c>
      <c r="J53" s="25">
        <f t="shared" si="0"/>
        <v>31547.606080836053</v>
      </c>
      <c r="K53" s="26">
        <v>9.730646659759256E-4</v>
      </c>
      <c r="L53" s="26">
        <v>6.711954677420766E-4</v>
      </c>
      <c r="M53" s="15">
        <f t="shared" si="1"/>
        <v>160799.48841072636</v>
      </c>
      <c r="N53" s="15"/>
      <c r="O53" s="15">
        <f t="shared" si="2"/>
        <v>0</v>
      </c>
      <c r="P53" s="15">
        <f t="shared" si="4"/>
        <v>7652.9055084375923</v>
      </c>
      <c r="Q53" s="15">
        <f t="shared" si="5"/>
        <v>200000.00000000003</v>
      </c>
      <c r="R53" s="27">
        <f t="shared" si="6"/>
        <v>4.0000000000000018E-3</v>
      </c>
    </row>
    <row r="54" spans="1:18" x14ac:dyDescent="0.25">
      <c r="A54" s="22" t="s">
        <v>73</v>
      </c>
      <c r="B54" s="12">
        <f>VLOOKUP(A54,[1]Population!$B$1:$D$65,3,FALSE)</f>
        <v>5701</v>
      </c>
      <c r="C54" s="23">
        <f t="shared" si="3"/>
        <v>9.8997418878031562E-4</v>
      </c>
      <c r="D54" s="23">
        <f>VLOOKUP(A54,[1]MAP!$A$2:$N$66,11,FALSE)</f>
        <v>1.0724906713278177E-3</v>
      </c>
      <c r="E54" s="23">
        <f>VLOOKUP(A54,[1]MAP!$A$2:$N$66,9,FALSE)</f>
        <v>0.33886085075702954</v>
      </c>
      <c r="F54" s="1" t="str">
        <f>IFERROR(VLOOKUP($A54,'[1]Distressed and Underserved'!$A$3:$K$28,7,FALSE),"")</f>
        <v>X</v>
      </c>
      <c r="G54" s="1" t="str">
        <f>IFERROR(VLOOKUP($A54,'[1]Distressed and Underserved'!$A$3:$K$28,8,FALSE),"")</f>
        <v>X</v>
      </c>
      <c r="H54" s="12">
        <v>115</v>
      </c>
      <c r="I54" s="24">
        <v>8.3972252646951446E-4</v>
      </c>
      <c r="J54" s="25">
        <f t="shared" si="0"/>
        <v>31547.606080836053</v>
      </c>
      <c r="K54" s="26">
        <v>8.8622637671401539E-4</v>
      </c>
      <c r="L54" s="26">
        <v>6.9070904409952662E-4</v>
      </c>
      <c r="M54" s="15">
        <f t="shared" si="1"/>
        <v>0</v>
      </c>
      <c r="N54" s="15"/>
      <c r="O54" s="15">
        <f t="shared" si="2"/>
        <v>300000</v>
      </c>
      <c r="P54" s="15">
        <f t="shared" si="4"/>
        <v>5362.4533566390883</v>
      </c>
      <c r="Q54" s="15">
        <f t="shared" si="5"/>
        <v>336910.05943747511</v>
      </c>
      <c r="R54" s="27">
        <f t="shared" si="6"/>
        <v>6.738201188749504E-3</v>
      </c>
    </row>
    <row r="55" spans="1:18" x14ac:dyDescent="0.25">
      <c r="A55" s="22" t="s">
        <v>74</v>
      </c>
      <c r="B55" s="12">
        <f>VLOOKUP(A55,[1]Population!$B$1:$D$65,3,FALSE)</f>
        <v>4908</v>
      </c>
      <c r="C55" s="23">
        <f t="shared" si="3"/>
        <v>8.5227035932885272E-4</v>
      </c>
      <c r="D55" s="23">
        <f>VLOOKUP(A55,[1]MAP!$A$2:$N$66,11,FALSE)</f>
        <v>3.485594681815407E-4</v>
      </c>
      <c r="E55" s="23">
        <f>VLOOKUP(A55,[1]MAP!$A$2:$N$66,9,FALSE)</f>
        <v>0.12623966942148759</v>
      </c>
      <c r="F55" s="1" t="str">
        <f>IFERROR(VLOOKUP($A55,'[1]Distressed and Underserved'!$A$3:$K$28,7,FALSE),"")</f>
        <v xml:space="preserve"> </v>
      </c>
      <c r="G55" s="1" t="str">
        <f>IFERROR(VLOOKUP($A55,'[1]Distressed and Underserved'!$A$3:$K$28,8,FALSE),"")</f>
        <v>X</v>
      </c>
      <c r="H55" s="12">
        <v>102</v>
      </c>
      <c r="I55" s="24">
        <v>7.4479737130339542E-4</v>
      </c>
      <c r="J55" s="25">
        <f t="shared" si="0"/>
        <v>27981.354958654585</v>
      </c>
      <c r="K55" s="26">
        <v>5.0199668587022075E-4</v>
      </c>
      <c r="L55" s="26">
        <v>3.9951914584590088E-4</v>
      </c>
      <c r="M55" s="15">
        <f t="shared" si="1"/>
        <v>20275.847700437705</v>
      </c>
      <c r="N55" s="15"/>
      <c r="O55" s="15">
        <f t="shared" si="2"/>
        <v>150000</v>
      </c>
      <c r="P55" s="15">
        <f t="shared" si="4"/>
        <v>1742.7973409077035</v>
      </c>
      <c r="Q55" s="15">
        <f t="shared" si="5"/>
        <v>200000</v>
      </c>
      <c r="R55" s="27">
        <f t="shared" si="6"/>
        <v>4.000000000000001E-3</v>
      </c>
    </row>
    <row r="56" spans="1:18" x14ac:dyDescent="0.25">
      <c r="A56" s="22" t="s">
        <v>75</v>
      </c>
      <c r="B56" s="12">
        <f>VLOOKUP(A56,[1]Population!$B$1:$D$65,3,FALSE)</f>
        <v>8205</v>
      </c>
      <c r="C56" s="23">
        <f t="shared" si="3"/>
        <v>1.4247918293181004E-3</v>
      </c>
      <c r="D56" s="23">
        <f>VLOOKUP(A56,[1]MAP!$A$2:$N$66,11,FALSE)</f>
        <v>2.6002194042086132E-3</v>
      </c>
      <c r="E56" s="23">
        <f>VLOOKUP(A56,[1]MAP!$A$2:$N$66,9,FALSE)</f>
        <v>0.55981331368214193</v>
      </c>
      <c r="F56" s="1" t="str">
        <f>IFERROR(VLOOKUP($A56,'[1]Distressed and Underserved'!$A$3:$K$28,7,FALSE),"")</f>
        <v>X</v>
      </c>
      <c r="G56" s="1" t="str">
        <f>IFERROR(VLOOKUP($A56,'[1]Distressed and Underserved'!$A$3:$K$28,8,FALSE),"")</f>
        <v>X</v>
      </c>
      <c r="H56" s="12">
        <v>100</v>
      </c>
      <c r="I56" s="24">
        <v>7.3019350127783865E-4</v>
      </c>
      <c r="J56" s="25">
        <f t="shared" si="0"/>
        <v>27432.700939857437</v>
      </c>
      <c r="K56" s="26">
        <v>6.590193459054557E-4</v>
      </c>
      <c r="L56" s="26">
        <v>4.4363799337903526E-4</v>
      </c>
      <c r="M56" s="15">
        <f t="shared" si="1"/>
        <v>0</v>
      </c>
      <c r="N56" s="15"/>
      <c r="O56" s="15">
        <f t="shared" si="2"/>
        <v>300000</v>
      </c>
      <c r="P56" s="15">
        <f t="shared" si="4"/>
        <v>13001.097021043066</v>
      </c>
      <c r="Q56" s="15">
        <f t="shared" si="5"/>
        <v>340433.79796090053</v>
      </c>
      <c r="R56" s="27">
        <f t="shared" si="6"/>
        <v>6.8086759592180125E-3</v>
      </c>
    </row>
    <row r="57" spans="1:18" x14ac:dyDescent="0.25">
      <c r="A57" s="22" t="s">
        <v>76</v>
      </c>
      <c r="B57" s="12">
        <f>VLOOKUP(A57,[1]Population!$B$1:$D$65,3,FALSE)</f>
        <v>6243</v>
      </c>
      <c r="C57" s="23">
        <f t="shared" si="3"/>
        <v>1.0840920646475198E-3</v>
      </c>
      <c r="D57" s="23">
        <f>VLOOKUP(A57,[1]MAP!$A$2:$N$66,11,FALSE)</f>
        <v>4.5694948283701164E-4</v>
      </c>
      <c r="E57" s="23">
        <f>VLOOKUP(A57,[1]MAP!$A$2:$N$66,9,FALSE)</f>
        <v>0.13521269412559081</v>
      </c>
      <c r="F57" s="1" t="str">
        <f>IFERROR(VLOOKUP($A57,'[1]Distressed and Underserved'!$A$3:$K$28,7,FALSE),"")</f>
        <v/>
      </c>
      <c r="G57" s="1" t="str">
        <f>IFERROR(VLOOKUP($A57,'[1]Distressed and Underserved'!$A$3:$K$28,8,FALSE),"")</f>
        <v/>
      </c>
      <c r="H57" s="12">
        <v>98</v>
      </c>
      <c r="I57" s="24">
        <v>7.1558963125228187E-4</v>
      </c>
      <c r="J57" s="25">
        <f t="shared" si="0"/>
        <v>26884.046921060286</v>
      </c>
      <c r="K57" s="26">
        <v>5.6742279421823528E-4</v>
      </c>
      <c r="L57" s="26">
        <v>5.5645343694629538E-4</v>
      </c>
      <c r="M57" s="15">
        <f t="shared" si="1"/>
        <v>170831.20566475467</v>
      </c>
      <c r="N57" s="15"/>
      <c r="O57" s="15">
        <f t="shared" si="2"/>
        <v>0</v>
      </c>
      <c r="P57" s="15">
        <f t="shared" si="4"/>
        <v>2284.747414185058</v>
      </c>
      <c r="Q57" s="15">
        <f t="shared" si="5"/>
        <v>200000</v>
      </c>
      <c r="R57" s="27">
        <f t="shared" si="6"/>
        <v>4.000000000000001E-3</v>
      </c>
    </row>
    <row r="58" spans="1:18" x14ac:dyDescent="0.25">
      <c r="A58" s="22" t="s">
        <v>77</v>
      </c>
      <c r="B58" s="12">
        <f>VLOOKUP(A58,[1]Population!$B$1:$D$65,3,FALSE)</f>
        <v>728</v>
      </c>
      <c r="C58" s="23">
        <f t="shared" si="3"/>
        <v>1.2641663031609713E-4</v>
      </c>
      <c r="D58" s="23">
        <f>VLOOKUP(A58,[1]MAP!$A$2:$N$66,11,FALSE)</f>
        <v>3.1376056873952114E-5</v>
      </c>
      <c r="E58" s="23">
        <f>VLOOKUP(A58,[1]MAP!$A$2:$N$66,9,FALSE)</f>
        <v>0.10110294117647059</v>
      </c>
      <c r="F58" s="1" t="str">
        <f>IFERROR(VLOOKUP($A58,'[1]Distressed and Underserved'!$A$3:$K$28,7,FALSE),"")</f>
        <v xml:space="preserve"> </v>
      </c>
      <c r="G58" s="1" t="str">
        <f>IFERROR(VLOOKUP($A58,'[1]Distressed and Underserved'!$A$3:$K$28,8,FALSE),"")</f>
        <v>X</v>
      </c>
      <c r="H58" s="12">
        <v>72</v>
      </c>
      <c r="I58" s="24">
        <v>5.257393209200438E-4</v>
      </c>
      <c r="J58" s="25">
        <f t="shared" si="0"/>
        <v>19751.544676697355</v>
      </c>
      <c r="K58" s="26">
        <v>2.6170443339205822E-4</v>
      </c>
      <c r="L58" s="26">
        <v>1.6937454006170255E-4</v>
      </c>
      <c r="M58" s="15">
        <f t="shared" si="1"/>
        <v>30091.575038932875</v>
      </c>
      <c r="N58" s="15"/>
      <c r="O58" s="15">
        <f t="shared" si="2"/>
        <v>150000</v>
      </c>
      <c r="P58" s="15">
        <f t="shared" si="4"/>
        <v>156.88028436976057</v>
      </c>
      <c r="Q58" s="15">
        <f t="shared" si="5"/>
        <v>199999.99999999997</v>
      </c>
      <c r="R58" s="27">
        <f t="shared" si="6"/>
        <v>4.000000000000001E-3</v>
      </c>
    </row>
    <row r="59" spans="1:18" x14ac:dyDescent="0.25">
      <c r="A59" s="22" t="s">
        <v>78</v>
      </c>
      <c r="B59" s="12">
        <f>VLOOKUP(A59,[1]Population!$B$1:$D$65,3,FALSE)</f>
        <v>820</v>
      </c>
      <c r="C59" s="23">
        <f t="shared" si="3"/>
        <v>1.4239235832307645E-4</v>
      </c>
      <c r="D59" s="23">
        <f>VLOOKUP(A59,[1]MAP!$A$2:$N$66,11,FALSE)</f>
        <v>4.9060743475634208E-5</v>
      </c>
      <c r="E59" s="23">
        <f>VLOOKUP(A59,[1]MAP!$A$2:$N$66,9,FALSE)</f>
        <v>9.7949886104783598E-2</v>
      </c>
      <c r="F59" s="1" t="str">
        <f>IFERROR(VLOOKUP($A59,'[1]Distressed and Underserved'!$A$3:$K$28,7,FALSE),"")</f>
        <v xml:space="preserve"> </v>
      </c>
      <c r="G59" s="1" t="str">
        <f>IFERROR(VLOOKUP($A59,'[1]Distressed and Underserved'!$A$3:$K$28,8,FALSE),"")</f>
        <v>X</v>
      </c>
      <c r="H59" s="12">
        <v>68</v>
      </c>
      <c r="I59" s="24">
        <v>4.9653158086893025E-4</v>
      </c>
      <c r="J59" s="25">
        <f t="shared" si="0"/>
        <v>18654.236639103055</v>
      </c>
      <c r="K59" s="26">
        <v>1.2966265108970158E-4</v>
      </c>
      <c r="L59" s="26">
        <v>1.2261351575802482E-4</v>
      </c>
      <c r="M59" s="15">
        <f t="shared" si="1"/>
        <v>31100.459643518785</v>
      </c>
      <c r="N59" s="15"/>
      <c r="O59" s="15">
        <f t="shared" si="2"/>
        <v>150000</v>
      </c>
      <c r="P59" s="15">
        <f t="shared" si="4"/>
        <v>245.30371737817103</v>
      </c>
      <c r="Q59" s="15">
        <f t="shared" si="5"/>
        <v>200000</v>
      </c>
      <c r="R59" s="27">
        <f t="shared" si="6"/>
        <v>4.000000000000001E-3</v>
      </c>
    </row>
    <row r="60" spans="1:18" x14ac:dyDescent="0.25">
      <c r="A60" s="22" t="s">
        <v>79</v>
      </c>
      <c r="B60" s="12">
        <f>VLOOKUP(A60,[1]Population!$B$1:$D$65,3,FALSE)</f>
        <v>3581</v>
      </c>
      <c r="C60" s="23">
        <f t="shared" si="3"/>
        <v>6.2183784774992286E-4</v>
      </c>
      <c r="D60" s="23">
        <f>VLOOKUP(A60,[1]MAP!$A$2:$N$66,11,FALSE)</f>
        <v>2.9949872470590649E-4</v>
      </c>
      <c r="E60" s="23">
        <f>VLOOKUP(A60,[1]MAP!$A$2:$N$66,9,FALSE)</f>
        <v>0.14734774066797643</v>
      </c>
      <c r="F60" s="1" t="str">
        <f>IFERROR(VLOOKUP($A60,'[1]Distressed and Underserved'!$A$3:$K$28,7,FALSE),"")</f>
        <v/>
      </c>
      <c r="G60" s="1" t="str">
        <f>IFERROR(VLOOKUP($A60,'[1]Distressed and Underserved'!$A$3:$K$28,8,FALSE),"")</f>
        <v/>
      </c>
      <c r="H60" s="12">
        <v>66</v>
      </c>
      <c r="I60" s="24">
        <v>4.8192771084337347E-4</v>
      </c>
      <c r="J60" s="25">
        <f t="shared" si="0"/>
        <v>18105.582620305908</v>
      </c>
      <c r="K60" s="26">
        <v>2.7954791748697127E-4</v>
      </c>
      <c r="L60" s="26">
        <v>1.6298927953288956E-4</v>
      </c>
      <c r="M60" s="15">
        <f t="shared" si="1"/>
        <v>180396.92375616456</v>
      </c>
      <c r="N60" s="15"/>
      <c r="O60" s="15">
        <f t="shared" si="2"/>
        <v>0</v>
      </c>
      <c r="P60" s="15">
        <f t="shared" si="4"/>
        <v>1497.4936235295324</v>
      </c>
      <c r="Q60" s="15">
        <f t="shared" si="5"/>
        <v>200000</v>
      </c>
      <c r="R60" s="27">
        <f t="shared" si="6"/>
        <v>4.000000000000001E-3</v>
      </c>
    </row>
    <row r="61" spans="1:18" x14ac:dyDescent="0.25">
      <c r="A61" s="22" t="s">
        <v>80</v>
      </c>
      <c r="B61" s="12">
        <f>VLOOKUP(A61,[1]Population!$B$1:$D$65,3,FALSE)</f>
        <v>1392</v>
      </c>
      <c r="C61" s="23">
        <f t="shared" si="3"/>
        <v>2.4171971071429565E-4</v>
      </c>
      <c r="D61" s="23">
        <f>VLOOKUP(A61,[1]MAP!$A$2:$N$66,11,FALSE)</f>
        <v>1.477527041882472E-4</v>
      </c>
      <c r="E61" s="23">
        <f>VLOOKUP(A61,[1]MAP!$A$2:$N$66,9,FALSE)</f>
        <v>0.19984567901234568</v>
      </c>
      <c r="F61" s="1" t="str">
        <f>IFERROR(VLOOKUP($A61,'[1]Distressed and Underserved'!$A$3:$K$28,7,FALSE),"")</f>
        <v>X</v>
      </c>
      <c r="G61" s="1" t="str">
        <f>IFERROR(VLOOKUP($A61,'[1]Distressed and Underserved'!$A$3:$K$28,8,FALSE),"")</f>
        <v>X</v>
      </c>
      <c r="H61" s="12">
        <v>62</v>
      </c>
      <c r="I61" s="24">
        <v>4.5271997079225998E-4</v>
      </c>
      <c r="J61" s="25">
        <f t="shared" si="0"/>
        <v>17008.274582711612</v>
      </c>
      <c r="K61" s="26">
        <v>2.7478965506166111E-4</v>
      </c>
      <c r="L61" s="26">
        <v>2.2700702086917817E-4</v>
      </c>
      <c r="M61" s="15">
        <f t="shared" si="1"/>
        <v>0</v>
      </c>
      <c r="N61" s="15"/>
      <c r="O61" s="15">
        <f t="shared" si="2"/>
        <v>300000</v>
      </c>
      <c r="P61" s="15">
        <f t="shared" si="4"/>
        <v>738.76352094123604</v>
      </c>
      <c r="Q61" s="15">
        <f t="shared" si="5"/>
        <v>317747.03810365289</v>
      </c>
      <c r="R61" s="27">
        <f t="shared" si="6"/>
        <v>6.3549407620730599E-3</v>
      </c>
    </row>
    <row r="62" spans="1:18" x14ac:dyDescent="0.25">
      <c r="A62" s="22" t="s">
        <v>81</v>
      </c>
      <c r="B62" s="12">
        <f>VLOOKUP(A62,[1]Population!$B$1:$D$65,3,FALSE)</f>
        <v>769</v>
      </c>
      <c r="C62" s="23">
        <f t="shared" si="3"/>
        <v>1.3353624823225096E-4</v>
      </c>
      <c r="D62" s="23">
        <f>VLOOKUP(A62,[1]MAP!$A$2:$N$66,11,FALSE)</f>
        <v>6.2181639986559631E-5</v>
      </c>
      <c r="E62" s="23">
        <f>VLOOKUP(A62,[1]MAP!$A$2:$N$66,9,FALSE)</f>
        <v>0.1324422843256379</v>
      </c>
      <c r="F62" s="1" t="str">
        <f>IFERROR(VLOOKUP($A62,'[1]Distressed and Underserved'!$A$3:$K$28,7,FALSE),"")</f>
        <v>X</v>
      </c>
      <c r="G62" s="1" t="str">
        <f>IFERROR(VLOOKUP($A62,'[1]Distressed and Underserved'!$A$3:$K$28,8,FALSE),"")</f>
        <v>X</v>
      </c>
      <c r="H62" s="12">
        <v>62</v>
      </c>
      <c r="I62" s="24">
        <v>4.5271997079225998E-4</v>
      </c>
      <c r="J62" s="25">
        <f t="shared" si="0"/>
        <v>17008.274582711612</v>
      </c>
      <c r="K62" s="26">
        <v>2.3077572762754224E-4</v>
      </c>
      <c r="L62" s="26">
        <v>2.0259440841634586E-4</v>
      </c>
      <c r="M62" s="15">
        <f t="shared" si="1"/>
        <v>0</v>
      </c>
      <c r="N62" s="15"/>
      <c r="O62" s="15">
        <f t="shared" si="2"/>
        <v>300000</v>
      </c>
      <c r="P62" s="15">
        <f t="shared" si="4"/>
        <v>310.90819993279814</v>
      </c>
      <c r="Q62" s="15">
        <f t="shared" si="5"/>
        <v>317319.18278264441</v>
      </c>
      <c r="R62" s="27">
        <f t="shared" si="6"/>
        <v>6.3463836556528902E-3</v>
      </c>
    </row>
    <row r="63" spans="1:18" x14ac:dyDescent="0.25">
      <c r="A63" s="22" t="s">
        <v>82</v>
      </c>
      <c r="B63" s="12">
        <f>VLOOKUP(A63,[1]Population!$B$1:$D$65,3,FALSE)</f>
        <v>2248</v>
      </c>
      <c r="C63" s="23">
        <f t="shared" si="3"/>
        <v>3.9036344086619009E-4</v>
      </c>
      <c r="D63" s="23">
        <f>VLOOKUP(A63,[1]MAP!$A$2:$N$66,11,FALSE)</f>
        <v>2.3731708471934687E-4</v>
      </c>
      <c r="E63" s="23">
        <f>VLOOKUP(A63,[1]MAP!$A$2:$N$66,9,FALSE)</f>
        <v>0.17702127659574468</v>
      </c>
      <c r="F63" s="1" t="str">
        <f>IFERROR(VLOOKUP($A63,'[1]Distressed and Underserved'!$A$3:$K$28,7,FALSE),"")</f>
        <v>X</v>
      </c>
      <c r="G63" s="1" t="str">
        <f>IFERROR(VLOOKUP($A63,'[1]Distressed and Underserved'!$A$3:$K$28,8,FALSE),"")</f>
        <v>X</v>
      </c>
      <c r="H63" s="12">
        <v>61</v>
      </c>
      <c r="I63" s="24">
        <v>4.4541803577948159E-4</v>
      </c>
      <c r="J63" s="25">
        <f t="shared" si="0"/>
        <v>16733.947573313035</v>
      </c>
      <c r="K63" s="26">
        <v>3.1047662325148727E-4</v>
      </c>
      <c r="L63" s="26">
        <v>1.7768638781903666E-4</v>
      </c>
      <c r="M63" s="15">
        <f t="shared" si="1"/>
        <v>0</v>
      </c>
      <c r="N63" s="15"/>
      <c r="O63" s="15">
        <f t="shared" si="2"/>
        <v>300000</v>
      </c>
      <c r="P63" s="15">
        <f t="shared" si="4"/>
        <v>1186.5854235967345</v>
      </c>
      <c r="Q63" s="15">
        <f t="shared" si="5"/>
        <v>317920.53299690975</v>
      </c>
      <c r="R63" s="27">
        <f t="shared" si="6"/>
        <v>6.3584106599381971E-3</v>
      </c>
    </row>
    <row r="64" spans="1:18" x14ac:dyDescent="0.25">
      <c r="A64" s="22" t="s">
        <v>83</v>
      </c>
      <c r="B64" s="12">
        <f>VLOOKUP(A64,[1]Population!$B$1:$D$65,3,FALSE)</f>
        <v>1831</v>
      </c>
      <c r="C64" s="23">
        <f t="shared" si="3"/>
        <v>3.179517171823817E-4</v>
      </c>
      <c r="D64" s="23">
        <f>VLOOKUP(A64,[1]MAP!$A$2:$N$66,11,FALSE)</f>
        <v>2.6241793021850859E-4</v>
      </c>
      <c r="E64" s="23">
        <f>VLOOKUP(A64,[1]MAP!$A$2:$N$66,9,FALSE)</f>
        <v>0.22560078469838157</v>
      </c>
      <c r="F64" s="1" t="str">
        <f>IFERROR(VLOOKUP($A64,'[1]Distressed and Underserved'!$A$3:$K$28,7,FALSE),"")</f>
        <v>X</v>
      </c>
      <c r="G64" s="1" t="str">
        <f>IFERROR(VLOOKUP($A64,'[1]Distressed and Underserved'!$A$3:$K$28,8,FALSE),"")</f>
        <v>X</v>
      </c>
      <c r="H64" s="12">
        <v>54</v>
      </c>
      <c r="I64" s="24">
        <v>3.9430449069003287E-4</v>
      </c>
      <c r="J64" s="25">
        <f t="shared" si="0"/>
        <v>14813.658507523016</v>
      </c>
      <c r="K64" s="26">
        <v>3.3307836977171048E-4</v>
      </c>
      <c r="L64" s="26">
        <v>3.2135474971732835E-4</v>
      </c>
      <c r="M64" s="15">
        <f t="shared" si="1"/>
        <v>0</v>
      </c>
      <c r="N64" s="15"/>
      <c r="O64" s="15">
        <f t="shared" si="2"/>
        <v>300000</v>
      </c>
      <c r="P64" s="15">
        <f t="shared" si="4"/>
        <v>1312.0896510925429</v>
      </c>
      <c r="Q64" s="15">
        <f t="shared" si="5"/>
        <v>316125.74815861555</v>
      </c>
      <c r="R64" s="27">
        <f t="shared" si="6"/>
        <v>6.3225149631723132E-3</v>
      </c>
    </row>
    <row r="65" spans="1:18" x14ac:dyDescent="0.25">
      <c r="A65" s="22" t="s">
        <v>84</v>
      </c>
      <c r="B65" s="12">
        <f>VLOOKUP(A65,[1]Population!$B$1:$D$65,3,FALSE)</f>
        <v>2055</v>
      </c>
      <c r="C65" s="23">
        <f t="shared" si="3"/>
        <v>3.5684914189502699E-4</v>
      </c>
      <c r="D65" s="23">
        <f>VLOOKUP(A65,[1]MAP!$A$2:$N$66,11,FALSE)</f>
        <v>9.5269118144545496E-5</v>
      </c>
      <c r="E65" s="23">
        <f>VLOOKUP(A65,[1]MAP!$A$2:$N$66,9,FALSE)</f>
        <v>9.0711569799022271E-2</v>
      </c>
      <c r="F65" s="1" t="str">
        <f>IFERROR(VLOOKUP($A65,'[1]Distressed and Underserved'!$A$3:$K$28,7,FALSE),"")</f>
        <v/>
      </c>
      <c r="G65" s="1" t="str">
        <f>IFERROR(VLOOKUP($A65,'[1]Distressed and Underserved'!$A$3:$K$28,8,FALSE),"")</f>
        <v/>
      </c>
      <c r="H65" s="12">
        <v>53</v>
      </c>
      <c r="I65" s="24">
        <v>3.8700255567725449E-4</v>
      </c>
      <c r="J65" s="25">
        <f t="shared" si="0"/>
        <v>14539.331498124442</v>
      </c>
      <c r="K65" s="26">
        <v>2.8787487673126406E-4</v>
      </c>
      <c r="L65" s="26">
        <v>2.5890580083854986E-4</v>
      </c>
      <c r="M65" s="15">
        <f t="shared" si="1"/>
        <v>184984.32291115282</v>
      </c>
      <c r="N65" s="15"/>
      <c r="O65" s="15">
        <f t="shared" si="2"/>
        <v>0</v>
      </c>
      <c r="P65" s="15">
        <f t="shared" si="4"/>
        <v>476.34559072272748</v>
      </c>
      <c r="Q65" s="15">
        <f t="shared" si="5"/>
        <v>199999.99999999997</v>
      </c>
      <c r="R65" s="27">
        <f t="shared" si="6"/>
        <v>4.000000000000001E-3</v>
      </c>
    </row>
    <row r="66" spans="1:18" x14ac:dyDescent="0.25">
      <c r="A66" s="22" t="s">
        <v>85</v>
      </c>
      <c r="B66" s="12">
        <f>VLOOKUP(A66,[1]Population!$B$1:$D$65,3,FALSE)</f>
        <v>5577</v>
      </c>
      <c r="C66" s="23">
        <f t="shared" si="3"/>
        <v>9.6844168581438706E-4</v>
      </c>
      <c r="D66" s="23">
        <f>VLOOKUP(A66,[1]MAP!$A$2:$N$66,11,FALSE)</f>
        <v>1.2133976903799298E-3</v>
      </c>
      <c r="E66" s="23">
        <f>VLOOKUP(A66,[1]MAP!$A$2:$N$66,9,FALSE)</f>
        <v>0.36615596488207952</v>
      </c>
      <c r="F66" s="1" t="str">
        <f>IFERROR(VLOOKUP($A66,'[1]Distressed and Underserved'!$A$3:$K$28,7,FALSE),"")</f>
        <v/>
      </c>
      <c r="G66" s="1" t="str">
        <f>IFERROR(VLOOKUP($A66,'[1]Distressed and Underserved'!$A$3:$K$28,8,FALSE),"")</f>
        <v/>
      </c>
      <c r="H66" s="12">
        <v>47</v>
      </c>
      <c r="I66" s="24">
        <v>3.4319094560058416E-4</v>
      </c>
      <c r="J66" s="25">
        <f t="shared" si="0"/>
        <v>12893.369441732995</v>
      </c>
      <c r="K66" s="26">
        <v>2.831166143059539E-4</v>
      </c>
      <c r="L66" s="26">
        <v>1.7991572446918256E-4</v>
      </c>
      <c r="M66" s="15">
        <f t="shared" si="1"/>
        <v>181039.64210636736</v>
      </c>
      <c r="N66" s="15"/>
      <c r="O66" s="15">
        <f t="shared" si="2"/>
        <v>0</v>
      </c>
      <c r="P66" s="15">
        <f t="shared" si="4"/>
        <v>6066.9884518996496</v>
      </c>
      <c r="Q66" s="15">
        <f t="shared" si="5"/>
        <v>200000</v>
      </c>
      <c r="R66" s="27">
        <f t="shared" si="6"/>
        <v>4.000000000000001E-3</v>
      </c>
    </row>
    <row r="67" spans="1:18" x14ac:dyDescent="0.25">
      <c r="A67" s="22" t="s">
        <v>86</v>
      </c>
      <c r="B67" s="12">
        <f>VLOOKUP(A67,[1]Population!$B$1:$D$65,3,FALSE)</f>
        <v>3887</v>
      </c>
      <c r="C67" s="23">
        <f t="shared" si="3"/>
        <v>6.7497450829487587E-4</v>
      </c>
      <c r="D67" s="23">
        <f>VLOOKUP(A67,[1]MAP!$A$2:$N$66,11,FALSE)</f>
        <v>1.409070190521122E-3</v>
      </c>
      <c r="E67" s="23">
        <f>VLOOKUP(A67,[1]MAP!$A$2:$N$66,9,FALSE)</f>
        <v>0.66992134526715486</v>
      </c>
      <c r="F67" s="1" t="str">
        <f>IFERROR(VLOOKUP($A67,'[1]Distressed and Underserved'!$A$3:$K$28,7,FALSE),"")</f>
        <v/>
      </c>
      <c r="G67" s="1" t="str">
        <f>IFERROR(VLOOKUP($A67,'[1]Distressed and Underserved'!$A$3:$K$28,8,FALSE),"")</f>
        <v/>
      </c>
      <c r="H67" s="12">
        <v>40</v>
      </c>
      <c r="I67" s="24">
        <v>2.9207740051113545E-4</v>
      </c>
      <c r="J67" s="25">
        <f t="shared" si="0"/>
        <v>10973.080375942975</v>
      </c>
      <c r="K67" s="26">
        <v>3.3902619780334817E-4</v>
      </c>
      <c r="L67" s="26">
        <v>2.260437272549176E-4</v>
      </c>
      <c r="M67" s="15">
        <f>IF(SUM(J67,P67,O67)&lt;$M$3,$M$3-SUM(J67,P67,O67),0)</f>
        <v>181981.56867145142</v>
      </c>
      <c r="N67" s="15"/>
      <c r="O67" s="15">
        <f t="shared" si="2"/>
        <v>0</v>
      </c>
      <c r="P67" s="15">
        <f t="shared" si="4"/>
        <v>7045.3509526056096</v>
      </c>
      <c r="Q67" s="15">
        <f t="shared" si="5"/>
        <v>200000</v>
      </c>
      <c r="R67" s="27">
        <f t="shared" si="6"/>
        <v>4.000000000000001E-3</v>
      </c>
    </row>
    <row r="68" spans="1:18" x14ac:dyDescent="0.25">
      <c r="A68" s="22" t="s">
        <v>87</v>
      </c>
      <c r="B68" s="12">
        <f>VLOOKUP(A68,[1]Population!$B$1:$D$65,3,FALSE)</f>
        <v>6061</v>
      </c>
      <c r="C68" s="23">
        <f t="shared" si="3"/>
        <v>1.0524879070684956E-3</v>
      </c>
      <c r="D68" s="23">
        <f>VLOOKUP(A68,[1]MAP!$A$2:$N$66,11,FALSE)</f>
        <v>1.2054110577211057E-3</v>
      </c>
      <c r="E68" s="23">
        <f>VLOOKUP(A68,[1]MAP!$A$2:$N$66,9,FALSE)</f>
        <v>0.37531083481349914</v>
      </c>
      <c r="F68" s="1" t="str">
        <f>IFERROR(VLOOKUP($A68,'[1]Distressed and Underserved'!$A$3:$K$28,7,FALSE),"")</f>
        <v/>
      </c>
      <c r="G68" s="1" t="str">
        <f>IFERROR(VLOOKUP($A68,'[1]Distressed and Underserved'!$A$3:$K$28,8,FALSE),"")</f>
        <v/>
      </c>
      <c r="H68" s="12">
        <v>29</v>
      </c>
      <c r="I68" s="24">
        <v>2.1175611537057321E-4</v>
      </c>
      <c r="J68" s="25">
        <f t="shared" si="0"/>
        <v>7955.4832725586566</v>
      </c>
      <c r="K68" s="26">
        <v>2.7241052384900606E-4</v>
      </c>
      <c r="L68" s="26">
        <v>1.8839270827467563E-4</v>
      </c>
      <c r="M68" s="15">
        <f t="shared" ref="M68:M69" si="7">IF(SUM(J68,P68,O68)&lt;$M$3,$M$3-SUM(J68,P68,O68),0)</f>
        <v>186017.4614388358</v>
      </c>
      <c r="N68" s="15"/>
      <c r="O68" s="15">
        <f t="shared" si="2"/>
        <v>0</v>
      </c>
      <c r="P68" s="15">
        <f t="shared" si="4"/>
        <v>6027.0552886055284</v>
      </c>
      <c r="Q68" s="15">
        <f t="shared" si="5"/>
        <v>200000</v>
      </c>
      <c r="R68" s="27">
        <f t="shared" si="6"/>
        <v>4.000000000000001E-3</v>
      </c>
    </row>
    <row r="69" spans="1:18" x14ac:dyDescent="0.25">
      <c r="A69" s="22" t="s">
        <v>88</v>
      </c>
      <c r="B69" s="12">
        <f>VLOOKUP(A69,[1]Population!$B$1:$D$65,3,FALSE)</f>
        <v>1406</v>
      </c>
      <c r="C69" s="23">
        <f t="shared" si="3"/>
        <v>2.4415079975883598E-4</v>
      </c>
      <c r="D69" s="23">
        <f>VLOOKUP(A69,[1]MAP!$A$2:$N$66,11,FALSE)</f>
        <v>1.0781954089412634E-4</v>
      </c>
      <c r="E69" s="23">
        <f>VLOOKUP(A69,[1]MAP!$A$2:$N$66,9,FALSE)</f>
        <v>0.13043478260869565</v>
      </c>
      <c r="F69" s="1" t="str">
        <f>IFERROR(VLOOKUP($A69,'[1]Distressed and Underserved'!$A$3:$K$28,7,FALSE),"")</f>
        <v>X</v>
      </c>
      <c r="G69" s="1" t="str">
        <f>IFERROR(VLOOKUP($A69,'[1]Distressed and Underserved'!$A$3:$K$28,8,FALSE),"")</f>
        <v>X</v>
      </c>
      <c r="H69" s="12">
        <v>29</v>
      </c>
      <c r="I69" s="24">
        <v>2.1175611537057321E-4</v>
      </c>
      <c r="J69" s="25">
        <f t="shared" si="0"/>
        <v>7955.4832725586566</v>
      </c>
      <c r="K69" s="26">
        <v>2.5575660536042053E-4</v>
      </c>
      <c r="L69" s="26">
        <v>1.6315441558104851E-4</v>
      </c>
      <c r="M69" s="15">
        <f t="shared" si="7"/>
        <v>0</v>
      </c>
      <c r="N69" s="15"/>
      <c r="O69" s="15">
        <f t="shared" si="2"/>
        <v>300000</v>
      </c>
      <c r="P69" s="15">
        <f t="shared" si="4"/>
        <v>539.0977044706317</v>
      </c>
      <c r="Q69" s="15">
        <f t="shared" si="5"/>
        <v>308494.58097702928</v>
      </c>
      <c r="R69" s="27">
        <f t="shared" si="6"/>
        <v>6.1698916195405875E-3</v>
      </c>
    </row>
    <row r="70" spans="1:18" x14ac:dyDescent="0.25">
      <c r="A70" s="28" t="s">
        <v>89</v>
      </c>
      <c r="B70" s="12">
        <f>SUM(B6:B69)</f>
        <v>5758736</v>
      </c>
      <c r="C70" s="29">
        <f t="shared" si="3"/>
        <v>1</v>
      </c>
      <c r="D70" s="29">
        <f>SUM(D6:D69)</f>
        <v>0.99999999999999978</v>
      </c>
      <c r="E70" s="29"/>
      <c r="F70" s="28"/>
      <c r="G70" s="28"/>
      <c r="H70" s="30">
        <v>136950</v>
      </c>
      <c r="I70" s="31">
        <v>1</v>
      </c>
      <c r="J70" s="32">
        <f t="shared" ref="J70" si="8">I70*$J$3</f>
        <v>37569083.937134758</v>
      </c>
      <c r="K70" s="29">
        <v>1</v>
      </c>
      <c r="L70" s="29">
        <v>1</v>
      </c>
      <c r="M70" s="32">
        <f>SUM(M5:M69)</f>
        <v>2180916.0628652391</v>
      </c>
      <c r="N70" s="32"/>
      <c r="O70" s="32">
        <f>SUM(O5:O69)</f>
        <v>5250000</v>
      </c>
      <c r="P70" s="32">
        <f>SUM(P5:P69)</f>
        <v>5000000.0000000037</v>
      </c>
      <c r="Q70" s="32">
        <f>SUM(Q5:Q69)</f>
        <v>49999999.999999985</v>
      </c>
      <c r="R70" s="33">
        <f t="shared" si="6"/>
        <v>1</v>
      </c>
    </row>
    <row r="71" spans="1:18" x14ac:dyDescent="0.25">
      <c r="D71" s="34" t="s">
        <v>90</v>
      </c>
      <c r="E71" s="23"/>
      <c r="F71" s="1">
        <f>COUNTIF(F6:F70,"x")</f>
        <v>12</v>
      </c>
      <c r="G71" s="1">
        <f>COUNTIF(G6:G70,"x")</f>
        <v>23</v>
      </c>
      <c r="O71" t="s">
        <v>91</v>
      </c>
      <c r="R71" s="35"/>
    </row>
    <row r="73" spans="1:18" x14ac:dyDescent="0.25">
      <c r="F73" s="12">
        <f>SUMIF(F5:F69,"x",$H$5:$H$69)</f>
        <v>1924</v>
      </c>
      <c r="G73" s="12">
        <f>SUMIF(G5:G69,"x",$H$5:$H$69)</f>
        <v>6663</v>
      </c>
    </row>
    <row r="74" spans="1:18" x14ac:dyDescent="0.25">
      <c r="F74" s="27">
        <f>F73/$H$70</f>
        <v>1.4048922964585615E-2</v>
      </c>
      <c r="G74" s="27">
        <f>G73/$H$70</f>
        <v>4.8652792990142385E-2</v>
      </c>
    </row>
    <row r="75" spans="1:18" x14ac:dyDescent="0.25">
      <c r="F75" t="s">
        <v>92</v>
      </c>
      <c r="G75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1"/>
  <sheetViews>
    <sheetView tabSelected="1" zoomScale="130" zoomScaleNormal="130" workbookViewId="0">
      <pane ySplit="6" topLeftCell="A7" activePane="bottomLeft" state="frozen"/>
      <selection activeCell="H4" sqref="H4"/>
      <selection pane="bottomLeft" activeCell="B1" sqref="B1"/>
    </sheetView>
  </sheetViews>
  <sheetFormatPr defaultRowHeight="15" x14ac:dyDescent="0.25"/>
  <cols>
    <col min="1" max="1" width="17.85546875" customWidth="1"/>
    <col min="2" max="2" width="13.28515625" bestFit="1" customWidth="1"/>
    <col min="3" max="6" width="14.42578125" customWidth="1"/>
    <col min="8" max="8" width="70.7109375" bestFit="1" customWidth="1"/>
  </cols>
  <sheetData>
    <row r="1" spans="1:8" x14ac:dyDescent="0.25">
      <c r="B1" s="43" t="s">
        <v>93</v>
      </c>
      <c r="C1" s="39">
        <v>0.5</v>
      </c>
      <c r="D1" t="s">
        <v>94</v>
      </c>
      <c r="E1" t="s">
        <v>96</v>
      </c>
      <c r="F1" t="s">
        <v>95</v>
      </c>
    </row>
    <row r="2" spans="1:8" x14ac:dyDescent="0.25">
      <c r="A2" s="8" t="s">
        <v>97</v>
      </c>
      <c r="B2" s="36">
        <v>50000000</v>
      </c>
      <c r="C2" s="15">
        <f>D2</f>
        <v>25000000.000000004</v>
      </c>
      <c r="D2" s="15">
        <f>D71</f>
        <v>25000000.000000004</v>
      </c>
      <c r="E2" s="15">
        <f>F2</f>
        <v>25000000.000000004</v>
      </c>
      <c r="F2" s="15">
        <f>C2</f>
        <v>25000000.000000004</v>
      </c>
    </row>
    <row r="3" spans="1:8" x14ac:dyDescent="0.25">
      <c r="A3" s="8" t="s">
        <v>1</v>
      </c>
      <c r="B3" s="36">
        <v>200000</v>
      </c>
      <c r="C3" s="15">
        <v>100000</v>
      </c>
      <c r="D3" s="15">
        <v>200000</v>
      </c>
      <c r="E3" s="15">
        <v>100000</v>
      </c>
      <c r="F3" s="15">
        <v>200000</v>
      </c>
    </row>
    <row r="4" spans="1:8" ht="30" x14ac:dyDescent="0.25">
      <c r="A4" s="40" t="s">
        <v>135</v>
      </c>
      <c r="B4" s="41">
        <v>150000</v>
      </c>
      <c r="C4" s="42">
        <f>150000/2</f>
        <v>75000</v>
      </c>
      <c r="D4" s="42">
        <f>150000/2</f>
        <v>75000</v>
      </c>
      <c r="E4" s="42">
        <v>150000</v>
      </c>
      <c r="F4" s="42">
        <v>150000</v>
      </c>
      <c r="G4" s="6" t="s">
        <v>136</v>
      </c>
    </row>
    <row r="5" spans="1:8" x14ac:dyDescent="0.25">
      <c r="A5" s="8" t="s">
        <v>98</v>
      </c>
      <c r="B5" s="36">
        <v>5000000</v>
      </c>
      <c r="C5" s="15">
        <v>2500000</v>
      </c>
      <c r="D5" s="15">
        <v>2500000</v>
      </c>
      <c r="E5" s="15">
        <v>0</v>
      </c>
      <c r="F5" s="15">
        <v>0</v>
      </c>
    </row>
    <row r="6" spans="1:8" ht="60" x14ac:dyDescent="0.25">
      <c r="A6" s="17" t="s">
        <v>8</v>
      </c>
      <c r="B6" s="37" t="s">
        <v>23</v>
      </c>
      <c r="C6" s="17" t="s">
        <v>23</v>
      </c>
      <c r="D6" s="17" t="s">
        <v>23</v>
      </c>
      <c r="E6" s="17" t="s">
        <v>23</v>
      </c>
      <c r="F6" s="17" t="s">
        <v>23</v>
      </c>
    </row>
    <row r="7" spans="1:8" x14ac:dyDescent="0.25">
      <c r="A7" s="22" t="s">
        <v>25</v>
      </c>
      <c r="B7" s="36">
        <v>6333281.7325383266</v>
      </c>
      <c r="C7" s="15">
        <v>3166640.8662691643</v>
      </c>
      <c r="D7" s="15">
        <v>2626328.4173891325</v>
      </c>
      <c r="E7" s="15">
        <v>2687851.6996580749</v>
      </c>
      <c r="F7" s="15">
        <v>2322214.3571969052</v>
      </c>
      <c r="H7" t="s">
        <v>99</v>
      </c>
    </row>
    <row r="8" spans="1:8" x14ac:dyDescent="0.25">
      <c r="A8" s="22" t="s">
        <v>26</v>
      </c>
      <c r="B8" s="36">
        <v>4750436.9605885232</v>
      </c>
      <c r="C8" s="15">
        <v>2375218.4802942621</v>
      </c>
      <c r="D8" s="15">
        <v>1972637.5613914966</v>
      </c>
      <c r="E8" s="15">
        <v>2002689.0170042473</v>
      </c>
      <c r="F8" s="15">
        <v>1730256.616791558</v>
      </c>
      <c r="H8" t="s">
        <v>100</v>
      </c>
    </row>
    <row r="9" spans="1:8" x14ac:dyDescent="0.25">
      <c r="A9" s="22" t="s">
        <v>27</v>
      </c>
      <c r="B9" s="36">
        <v>4265710.6264605401</v>
      </c>
      <c r="C9" s="15">
        <v>2132855.3132302705</v>
      </c>
      <c r="D9" s="15">
        <v>1742638.7739798832</v>
      </c>
      <c r="E9" s="15">
        <v>1941180.8675386007</v>
      </c>
      <c r="F9" s="15">
        <v>1677115.6240083966</v>
      </c>
      <c r="H9" t="s">
        <v>101</v>
      </c>
    </row>
    <row r="10" spans="1:8" x14ac:dyDescent="0.25">
      <c r="A10" s="22" t="s">
        <v>28</v>
      </c>
      <c r="B10" s="36">
        <v>4328097.9830598915</v>
      </c>
      <c r="C10" s="15">
        <v>2164048.9915299462</v>
      </c>
      <c r="D10" s="15">
        <v>1792242.2476469274</v>
      </c>
      <c r="E10" s="15">
        <v>1849599.0432236008</v>
      </c>
      <c r="F10" s="15">
        <v>1597991.9776741767</v>
      </c>
      <c r="H10" t="s">
        <v>102</v>
      </c>
    </row>
    <row r="11" spans="1:8" x14ac:dyDescent="0.25">
      <c r="A11" s="22" t="s">
        <v>29</v>
      </c>
      <c r="B11" s="36">
        <v>3152729.6780499248</v>
      </c>
      <c r="C11" s="15">
        <v>1576364.8390249629</v>
      </c>
      <c r="D11" s="15">
        <v>1282245.7903029043</v>
      </c>
      <c r="E11" s="15">
        <v>1463131.9094129012</v>
      </c>
      <c r="F11" s="15">
        <v>1264097.2442578536</v>
      </c>
      <c r="H11" t="s">
        <v>103</v>
      </c>
    </row>
    <row r="12" spans="1:8" x14ac:dyDescent="0.25">
      <c r="A12" s="22" t="s">
        <v>30</v>
      </c>
      <c r="B12" s="36">
        <v>2656163.5515030483</v>
      </c>
      <c r="C12" s="15">
        <v>1328081.7757515244</v>
      </c>
      <c r="D12" s="15">
        <v>1079727.3446366091</v>
      </c>
      <c r="E12" s="15">
        <v>1235470.1084039928</v>
      </c>
      <c r="F12" s="15">
        <v>1067405.0298192943</v>
      </c>
      <c r="H12" t="s">
        <v>104</v>
      </c>
    </row>
    <row r="13" spans="1:8" x14ac:dyDescent="0.25">
      <c r="A13" s="22" t="s">
        <v>31</v>
      </c>
      <c r="B13" s="36">
        <v>2778239.3539007171</v>
      </c>
      <c r="C13" s="15">
        <v>1389119.6769503588</v>
      </c>
      <c r="D13" s="15">
        <v>1181988.962950784</v>
      </c>
      <c r="E13" s="15">
        <v>1030397.583526273</v>
      </c>
      <c r="F13" s="15">
        <v>890229.19768605533</v>
      </c>
      <c r="H13" t="s">
        <v>105</v>
      </c>
    </row>
    <row r="14" spans="1:8" x14ac:dyDescent="0.25">
      <c r="A14" s="22" t="s">
        <v>32</v>
      </c>
      <c r="B14" s="36">
        <v>2201525.1203207527</v>
      </c>
      <c r="C14" s="15">
        <v>1100762.5601603766</v>
      </c>
      <c r="D14" s="15">
        <v>897352.10198541149</v>
      </c>
      <c r="E14" s="15">
        <v>1011890.7066959015</v>
      </c>
      <c r="F14" s="15">
        <v>874239.87242386525</v>
      </c>
      <c r="H14" t="s">
        <v>106</v>
      </c>
    </row>
    <row r="15" spans="1:8" x14ac:dyDescent="0.25">
      <c r="A15" s="22" t="s">
        <v>33</v>
      </c>
      <c r="B15" s="36">
        <v>1689578.0950854823</v>
      </c>
      <c r="C15" s="15">
        <v>844789.04754274129</v>
      </c>
      <c r="D15" s="15">
        <v>704841.77696405351</v>
      </c>
      <c r="E15" s="15">
        <v>696185.1607660345</v>
      </c>
      <c r="F15" s="15">
        <v>601480.79442179867</v>
      </c>
      <c r="H15" t="s">
        <v>107</v>
      </c>
    </row>
    <row r="16" spans="1:8" x14ac:dyDescent="0.25">
      <c r="A16" s="22" t="s">
        <v>34</v>
      </c>
      <c r="B16" s="36">
        <v>1073423.2060656031</v>
      </c>
      <c r="C16" s="15">
        <v>536711.60303280165</v>
      </c>
      <c r="D16" s="15">
        <v>437550.37241361808</v>
      </c>
      <c r="E16" s="15">
        <v>493289.91551541735</v>
      </c>
      <c r="F16" s="15">
        <v>426186.05937822914</v>
      </c>
      <c r="H16" t="s">
        <v>108</v>
      </c>
    </row>
    <row r="17" spans="1:8" x14ac:dyDescent="0.25">
      <c r="A17" s="22" t="s">
        <v>35</v>
      </c>
      <c r="B17" s="36">
        <v>910672.74486797652</v>
      </c>
      <c r="C17" s="15">
        <v>455336.37243398832</v>
      </c>
      <c r="D17" s="15">
        <v>369606.35953453416</v>
      </c>
      <c r="E17" s="15">
        <v>426474.64695870841</v>
      </c>
      <c r="F17" s="15">
        <v>368459.89243899862</v>
      </c>
      <c r="H17" t="s">
        <v>109</v>
      </c>
    </row>
    <row r="18" spans="1:8" x14ac:dyDescent="0.25">
      <c r="A18" s="22" t="s">
        <v>36</v>
      </c>
      <c r="B18" s="36">
        <v>876345.65113780741</v>
      </c>
      <c r="C18" s="15">
        <v>438172.82556890376</v>
      </c>
      <c r="D18" s="15">
        <v>373150.41310495912</v>
      </c>
      <c r="E18" s="15">
        <v>323462.10460141982</v>
      </c>
      <c r="F18" s="15">
        <v>279460.48638401396</v>
      </c>
      <c r="H18" t="s">
        <v>110</v>
      </c>
    </row>
    <row r="19" spans="1:8" x14ac:dyDescent="0.25">
      <c r="A19" s="22" t="s">
        <v>37</v>
      </c>
      <c r="B19" s="36">
        <v>638342.89323806134</v>
      </c>
      <c r="C19" s="15">
        <v>319171.44661903073</v>
      </c>
      <c r="D19" s="15">
        <v>260768.90113711156</v>
      </c>
      <c r="E19" s="15">
        <v>290530.75024149404</v>
      </c>
      <c r="F19" s="15">
        <v>251008.89290276391</v>
      </c>
      <c r="H19" t="s">
        <v>111</v>
      </c>
    </row>
    <row r="20" spans="1:8" x14ac:dyDescent="0.25">
      <c r="A20" s="22" t="s">
        <v>38</v>
      </c>
      <c r="B20" s="36">
        <v>614451.5159521664</v>
      </c>
      <c r="C20" s="15">
        <v>307225.7579760832</v>
      </c>
      <c r="D20" s="15">
        <v>249288.24447224027</v>
      </c>
      <c r="E20" s="15">
        <v>288217.39063769759</v>
      </c>
      <c r="F20" s="15">
        <v>249010.22724499015</v>
      </c>
      <c r="H20" t="s">
        <v>112</v>
      </c>
    </row>
    <row r="21" spans="1:8" x14ac:dyDescent="0.25">
      <c r="A21" s="22" t="s">
        <v>39</v>
      </c>
      <c r="B21" s="36">
        <v>556092.76997447363</v>
      </c>
      <c r="C21" s="15">
        <v>278046.38498723687</v>
      </c>
      <c r="D21" s="15">
        <v>224130.03035264078</v>
      </c>
      <c r="E21" s="15">
        <v>268213.63406369311</v>
      </c>
      <c r="F21" s="15">
        <v>231727.64773365229</v>
      </c>
      <c r="H21" t="s">
        <v>113</v>
      </c>
    </row>
    <row r="22" spans="1:8" x14ac:dyDescent="0.25">
      <c r="A22" s="22" t="s">
        <v>40</v>
      </c>
      <c r="B22" s="36">
        <v>478496.18974841497</v>
      </c>
      <c r="C22" s="15">
        <v>239248.09487420754</v>
      </c>
      <c r="D22" s="15">
        <v>200000</v>
      </c>
      <c r="E22" s="15">
        <v>215958.92301323236</v>
      </c>
      <c r="F22" s="15">
        <v>200000</v>
      </c>
      <c r="H22" t="s">
        <v>114</v>
      </c>
    </row>
    <row r="23" spans="1:8" x14ac:dyDescent="0.25">
      <c r="A23" s="22" t="s">
        <v>41</v>
      </c>
      <c r="B23" s="36">
        <v>440041.26219425822</v>
      </c>
      <c r="C23" s="15">
        <v>220020.63109712914</v>
      </c>
      <c r="D23" s="15">
        <v>200000</v>
      </c>
      <c r="E23" s="15">
        <v>214598.12324629325</v>
      </c>
      <c r="F23" s="15">
        <v>200000</v>
      </c>
      <c r="H23" t="s">
        <v>115</v>
      </c>
    </row>
    <row r="24" spans="1:8" x14ac:dyDescent="0.25">
      <c r="A24" s="22" t="s">
        <v>42</v>
      </c>
      <c r="B24" s="36">
        <v>399406.63637758861</v>
      </c>
      <c r="C24" s="15">
        <v>199703.31818879434</v>
      </c>
      <c r="D24" s="15">
        <v>200000</v>
      </c>
      <c r="E24" s="15">
        <v>194458.28669559487</v>
      </c>
      <c r="F24" s="15">
        <v>200000</v>
      </c>
      <c r="H24" t="s">
        <v>116</v>
      </c>
    </row>
    <row r="25" spans="1:8" x14ac:dyDescent="0.25">
      <c r="A25" s="22" t="s">
        <v>43</v>
      </c>
      <c r="B25" s="36">
        <v>327455.05685142672</v>
      </c>
      <c r="C25" s="15">
        <v>163727.52842571342</v>
      </c>
      <c r="D25" s="15">
        <v>200000.00000000003</v>
      </c>
      <c r="E25" s="15">
        <v>148463.25457305388</v>
      </c>
      <c r="F25" s="15">
        <v>200000</v>
      </c>
      <c r="H25" t="s">
        <v>117</v>
      </c>
    </row>
    <row r="26" spans="1:8" x14ac:dyDescent="0.25">
      <c r="A26" s="22" t="s">
        <v>44</v>
      </c>
      <c r="B26" s="36">
        <v>453688.97469889896</v>
      </c>
      <c r="C26" s="15">
        <v>226844.48734944951</v>
      </c>
      <c r="D26" s="15">
        <v>200000</v>
      </c>
      <c r="E26" s="15">
        <v>297646.77471289039</v>
      </c>
      <c r="F26" s="15">
        <v>277561.89639320789</v>
      </c>
      <c r="H26" t="s">
        <v>118</v>
      </c>
    </row>
    <row r="27" spans="1:8" x14ac:dyDescent="0.25">
      <c r="A27" s="22" t="s">
        <v>45</v>
      </c>
      <c r="B27" s="36">
        <v>399919.73639395979</v>
      </c>
      <c r="C27" s="15">
        <v>199959.86819697992</v>
      </c>
      <c r="D27" s="15">
        <v>200000</v>
      </c>
      <c r="E27" s="15">
        <v>269886.45946733316</v>
      </c>
      <c r="F27" s="15">
        <v>253577.90849992272</v>
      </c>
      <c r="H27" t="s">
        <v>119</v>
      </c>
    </row>
    <row r="28" spans="1:8" x14ac:dyDescent="0.25">
      <c r="A28" s="22" t="s">
        <v>46</v>
      </c>
      <c r="B28" s="36">
        <v>366834.3491772592</v>
      </c>
      <c r="C28" s="15">
        <v>183417.17458862963</v>
      </c>
      <c r="D28" s="15">
        <v>199999.99999999997</v>
      </c>
      <c r="E28" s="15">
        <v>254917.66203100322</v>
      </c>
      <c r="F28" s="15">
        <v>240645.36600844542</v>
      </c>
      <c r="H28" t="s">
        <v>120</v>
      </c>
    </row>
    <row r="29" spans="1:8" x14ac:dyDescent="0.25">
      <c r="A29" s="22" t="s">
        <v>47</v>
      </c>
      <c r="B29" s="36">
        <v>228697.83307189311</v>
      </c>
      <c r="C29" s="15">
        <v>114348.91653594658</v>
      </c>
      <c r="D29" s="15">
        <v>200000</v>
      </c>
      <c r="E29" s="15">
        <v>100000</v>
      </c>
      <c r="F29" s="15">
        <v>200000</v>
      </c>
      <c r="H29" t="s">
        <v>121</v>
      </c>
    </row>
    <row r="30" spans="1:8" x14ac:dyDescent="0.25">
      <c r="A30" s="22" t="s">
        <v>48</v>
      </c>
      <c r="B30" s="36">
        <v>216337.51982445637</v>
      </c>
      <c r="C30" s="15">
        <v>108168.75991222821</v>
      </c>
      <c r="D30" s="15">
        <v>200000</v>
      </c>
      <c r="E30" s="15">
        <v>100000</v>
      </c>
      <c r="F30" s="15">
        <v>200000</v>
      </c>
      <c r="H30" t="s">
        <v>122</v>
      </c>
    </row>
    <row r="31" spans="1:8" x14ac:dyDescent="0.25">
      <c r="A31" s="22" t="s">
        <v>49</v>
      </c>
      <c r="B31" s="36">
        <v>200000</v>
      </c>
      <c r="C31" s="15">
        <v>100000</v>
      </c>
      <c r="D31" s="15">
        <v>199999.99999999997</v>
      </c>
      <c r="E31" s="15">
        <v>100000</v>
      </c>
      <c r="F31" s="15">
        <v>200000</v>
      </c>
      <c r="H31" t="s">
        <v>123</v>
      </c>
    </row>
    <row r="32" spans="1:8" x14ac:dyDescent="0.25">
      <c r="A32" s="22" t="s">
        <v>50</v>
      </c>
      <c r="B32" s="36">
        <v>200000</v>
      </c>
      <c r="C32" s="15">
        <v>100000</v>
      </c>
      <c r="D32" s="15">
        <v>199999.99999999997</v>
      </c>
      <c r="E32" s="15">
        <v>100000</v>
      </c>
      <c r="F32" s="15">
        <v>200000</v>
      </c>
      <c r="H32" t="s">
        <v>124</v>
      </c>
    </row>
    <row r="33" spans="1:8" x14ac:dyDescent="0.25">
      <c r="A33" s="22" t="s">
        <v>51</v>
      </c>
      <c r="B33" s="36">
        <v>200000</v>
      </c>
      <c r="C33" s="15">
        <v>100000</v>
      </c>
      <c r="D33" s="15">
        <v>200000</v>
      </c>
      <c r="E33" s="15">
        <v>100000</v>
      </c>
      <c r="F33" s="15">
        <v>200000</v>
      </c>
      <c r="H33" t="s">
        <v>125</v>
      </c>
    </row>
    <row r="34" spans="1:8" x14ac:dyDescent="0.25">
      <c r="A34" s="22" t="s">
        <v>52</v>
      </c>
      <c r="B34" s="36">
        <v>310004.16479366552</v>
      </c>
      <c r="C34" s="15">
        <v>155002.08239683276</v>
      </c>
      <c r="D34" s="15">
        <v>200000</v>
      </c>
      <c r="E34" s="15">
        <v>227837.7466689155</v>
      </c>
      <c r="F34" s="15">
        <v>217249.22095568193</v>
      </c>
      <c r="H34" t="s">
        <v>126</v>
      </c>
    </row>
    <row r="35" spans="1:8" x14ac:dyDescent="0.25">
      <c r="A35" s="22" t="s">
        <v>53</v>
      </c>
      <c r="B35" s="36">
        <v>200000</v>
      </c>
      <c r="C35" s="15">
        <v>100000</v>
      </c>
      <c r="D35" s="15">
        <v>200000</v>
      </c>
      <c r="E35" s="15">
        <v>100000</v>
      </c>
      <c r="F35" s="15">
        <v>200000</v>
      </c>
      <c r="H35" t="s">
        <v>127</v>
      </c>
    </row>
    <row r="36" spans="1:8" x14ac:dyDescent="0.25">
      <c r="A36" s="22" t="s">
        <v>54</v>
      </c>
      <c r="B36" s="36">
        <v>291108.39459820115</v>
      </c>
      <c r="C36" s="15">
        <v>145554.1972991006</v>
      </c>
      <c r="D36" s="15">
        <v>200000</v>
      </c>
      <c r="E36" s="15">
        <v>215726.62874315766</v>
      </c>
      <c r="F36" s="15">
        <v>206785.61839439577</v>
      </c>
      <c r="H36" t="s">
        <v>128</v>
      </c>
    </row>
    <row r="37" spans="1:8" x14ac:dyDescent="0.25">
      <c r="A37" s="22" t="s">
        <v>55</v>
      </c>
      <c r="B37" s="36">
        <v>200000</v>
      </c>
      <c r="C37" s="15">
        <v>99999.999999999985</v>
      </c>
      <c r="D37" s="15">
        <v>200000</v>
      </c>
      <c r="E37" s="15">
        <v>100000</v>
      </c>
      <c r="F37" s="15">
        <v>200000</v>
      </c>
      <c r="H37" t="s">
        <v>129</v>
      </c>
    </row>
    <row r="38" spans="1:8" x14ac:dyDescent="0.25">
      <c r="A38" s="22" t="s">
        <v>56</v>
      </c>
      <c r="B38" s="36">
        <v>200000.00000000003</v>
      </c>
      <c r="C38" s="15">
        <v>100000.00000000001</v>
      </c>
      <c r="D38" s="15">
        <v>200000</v>
      </c>
      <c r="E38" s="15">
        <v>100000</v>
      </c>
      <c r="F38" s="15">
        <v>200000</v>
      </c>
      <c r="H38" t="s">
        <v>130</v>
      </c>
    </row>
    <row r="39" spans="1:8" x14ac:dyDescent="0.25">
      <c r="A39" s="22" t="s">
        <v>57</v>
      </c>
      <c r="B39" s="36">
        <v>432615.7130448086</v>
      </c>
      <c r="C39" s="15">
        <v>216307.8565224043</v>
      </c>
      <c r="D39" s="15">
        <v>205502.70173769328</v>
      </c>
      <c r="E39" s="15">
        <v>353751.59079409373</v>
      </c>
      <c r="F39" s="15">
        <v>346439.58440121391</v>
      </c>
      <c r="H39" t="s">
        <v>131</v>
      </c>
    </row>
    <row r="40" spans="1:8" x14ac:dyDescent="0.25">
      <c r="A40" s="22" t="s">
        <v>58</v>
      </c>
      <c r="B40" s="36">
        <v>200000</v>
      </c>
      <c r="C40" s="15">
        <v>100000</v>
      </c>
      <c r="D40" s="15">
        <v>200000</v>
      </c>
      <c r="E40" s="15">
        <v>100000</v>
      </c>
      <c r="F40" s="15">
        <v>200000</v>
      </c>
    </row>
    <row r="41" spans="1:8" x14ac:dyDescent="0.25">
      <c r="A41" s="22" t="s">
        <v>59</v>
      </c>
      <c r="B41" s="36">
        <v>248178.96544906675</v>
      </c>
      <c r="C41" s="15">
        <v>124089.48272453337</v>
      </c>
      <c r="D41" s="15">
        <v>200000.00000000003</v>
      </c>
      <c r="E41" s="15">
        <v>195178.55226237752</v>
      </c>
      <c r="F41" s="15">
        <v>200000</v>
      </c>
    </row>
    <row r="42" spans="1:8" x14ac:dyDescent="0.25">
      <c r="A42" s="22" t="s">
        <v>60</v>
      </c>
      <c r="B42" s="36">
        <v>200000</v>
      </c>
      <c r="C42" s="15">
        <v>100000</v>
      </c>
      <c r="D42" s="15">
        <v>199999.99999999997</v>
      </c>
      <c r="E42" s="15">
        <v>100000</v>
      </c>
      <c r="F42" s="15">
        <v>200000</v>
      </c>
    </row>
    <row r="43" spans="1:8" x14ac:dyDescent="0.25">
      <c r="A43" s="22" t="s">
        <v>61</v>
      </c>
      <c r="B43" s="36">
        <v>263564.49753761786</v>
      </c>
      <c r="C43" s="15">
        <v>131782.24876880896</v>
      </c>
      <c r="D43" s="15">
        <v>200000</v>
      </c>
      <c r="E43" s="15">
        <v>194362.07240221408</v>
      </c>
      <c r="F43" s="15">
        <v>200000</v>
      </c>
    </row>
    <row r="44" spans="1:8" x14ac:dyDescent="0.25">
      <c r="A44" s="22" t="s">
        <v>62</v>
      </c>
      <c r="B44" s="36">
        <v>404723.71688785253</v>
      </c>
      <c r="C44" s="15">
        <v>202361.85844392629</v>
      </c>
      <c r="D44" s="15">
        <v>200000</v>
      </c>
      <c r="E44" s="15">
        <v>342456.95272849937</v>
      </c>
      <c r="F44" s="15">
        <v>336681.3932485538</v>
      </c>
    </row>
    <row r="45" spans="1:8" x14ac:dyDescent="0.25">
      <c r="A45" s="22" t="s">
        <v>63</v>
      </c>
      <c r="B45" s="36">
        <v>248612.29883708019</v>
      </c>
      <c r="C45" s="15">
        <v>124306.1494185401</v>
      </c>
      <c r="D45" s="15">
        <v>200000</v>
      </c>
      <c r="E45" s="15">
        <v>191232.23293825419</v>
      </c>
      <c r="F45" s="15">
        <v>200000</v>
      </c>
    </row>
    <row r="46" spans="1:8" x14ac:dyDescent="0.25">
      <c r="A46" s="22" t="s">
        <v>64</v>
      </c>
      <c r="B46" s="36">
        <v>391828.43044600292</v>
      </c>
      <c r="C46" s="15">
        <v>195914.21522300149</v>
      </c>
      <c r="D46" s="15">
        <v>200000</v>
      </c>
      <c r="E46" s="15">
        <v>338646.71338106995</v>
      </c>
      <c r="F46" s="15">
        <v>333389.47334163229</v>
      </c>
    </row>
    <row r="47" spans="1:8" x14ac:dyDescent="0.25">
      <c r="A47" s="22" t="s">
        <v>65</v>
      </c>
      <c r="B47" s="36">
        <v>200000</v>
      </c>
      <c r="C47" s="15">
        <v>100000</v>
      </c>
      <c r="D47" s="15">
        <v>200000</v>
      </c>
      <c r="E47" s="15">
        <v>100000</v>
      </c>
      <c r="F47" s="15">
        <v>200000</v>
      </c>
    </row>
    <row r="48" spans="1:8" x14ac:dyDescent="0.25">
      <c r="A48" s="22" t="s">
        <v>66</v>
      </c>
      <c r="B48" s="36">
        <v>217358.00471586332</v>
      </c>
      <c r="C48" s="15">
        <v>108679.00235793168</v>
      </c>
      <c r="D48" s="15">
        <v>200000</v>
      </c>
      <c r="E48" s="15">
        <v>180890.15470951717</v>
      </c>
      <c r="F48" s="15">
        <v>200000</v>
      </c>
    </row>
    <row r="49" spans="1:6" x14ac:dyDescent="0.25">
      <c r="A49" s="22" t="s">
        <v>67</v>
      </c>
      <c r="B49" s="36">
        <v>200000</v>
      </c>
      <c r="C49" s="15">
        <v>100000</v>
      </c>
      <c r="D49" s="15">
        <v>200000.00000000003</v>
      </c>
      <c r="E49" s="15">
        <v>100000</v>
      </c>
      <c r="F49" s="15">
        <v>200000</v>
      </c>
    </row>
    <row r="50" spans="1:6" x14ac:dyDescent="0.25">
      <c r="A50" s="22" t="s">
        <v>68</v>
      </c>
      <c r="B50" s="36">
        <v>201085.43219115771</v>
      </c>
      <c r="C50" s="15">
        <v>100542.71609557886</v>
      </c>
      <c r="D50" s="15">
        <v>200000</v>
      </c>
      <c r="E50" s="15">
        <v>173950.07589812786</v>
      </c>
      <c r="F50" s="15">
        <v>200000</v>
      </c>
    </row>
    <row r="51" spans="1:6" x14ac:dyDescent="0.25">
      <c r="A51" s="22" t="s">
        <v>69</v>
      </c>
      <c r="B51" s="36">
        <v>199999.99999999997</v>
      </c>
      <c r="C51" s="15">
        <v>100000</v>
      </c>
      <c r="D51" s="15">
        <v>200000</v>
      </c>
      <c r="E51" s="15">
        <v>100000</v>
      </c>
      <c r="F51" s="15">
        <v>200000</v>
      </c>
    </row>
    <row r="52" spans="1:6" x14ac:dyDescent="0.25">
      <c r="A52" s="22" t="s">
        <v>70</v>
      </c>
      <c r="B52" s="36">
        <v>200000</v>
      </c>
      <c r="C52" s="15">
        <v>100000</v>
      </c>
      <c r="D52" s="15">
        <v>200000</v>
      </c>
      <c r="E52" s="15">
        <v>166873.91711004463</v>
      </c>
      <c r="F52" s="15">
        <v>200000</v>
      </c>
    </row>
    <row r="53" spans="1:6" x14ac:dyDescent="0.25">
      <c r="A53" s="22" t="s">
        <v>71</v>
      </c>
      <c r="B53" s="36">
        <v>200000</v>
      </c>
      <c r="C53" s="15">
        <v>100000</v>
      </c>
      <c r="D53" s="15">
        <v>200000</v>
      </c>
      <c r="E53" s="15">
        <v>165921.35727318726</v>
      </c>
      <c r="F53" s="15">
        <v>200000</v>
      </c>
    </row>
    <row r="54" spans="1:6" x14ac:dyDescent="0.25">
      <c r="A54" s="22" t="s">
        <v>72</v>
      </c>
      <c r="B54" s="36">
        <v>200000.00000000003</v>
      </c>
      <c r="C54" s="15">
        <v>100000.00000000001</v>
      </c>
      <c r="D54" s="15">
        <v>200000</v>
      </c>
      <c r="E54" s="15">
        <v>100000</v>
      </c>
      <c r="F54" s="15">
        <v>200000</v>
      </c>
    </row>
    <row r="55" spans="1:6" x14ac:dyDescent="0.25">
      <c r="A55" s="22" t="s">
        <v>73</v>
      </c>
      <c r="B55" s="36">
        <v>336910.05943747511</v>
      </c>
      <c r="C55" s="15">
        <v>168455.02971873755</v>
      </c>
      <c r="D55" s="15">
        <v>199999.99999999997</v>
      </c>
      <c r="E55" s="15">
        <v>315649.19731979945</v>
      </c>
      <c r="F55" s="15">
        <v>313520.38533199899</v>
      </c>
    </row>
    <row r="56" spans="1:6" x14ac:dyDescent="0.25">
      <c r="A56" s="22" t="s">
        <v>74</v>
      </c>
      <c r="B56" s="36">
        <v>200000</v>
      </c>
      <c r="C56" s="15">
        <v>100000</v>
      </c>
      <c r="D56" s="15">
        <v>199999.99999999997</v>
      </c>
      <c r="E56" s="15">
        <v>163880.15762277864</v>
      </c>
      <c r="F56" s="15">
        <v>200000</v>
      </c>
    </row>
    <row r="57" spans="1:6" x14ac:dyDescent="0.25">
      <c r="A57" s="22" t="s">
        <v>75</v>
      </c>
      <c r="B57" s="36">
        <v>340433.79796090053</v>
      </c>
      <c r="C57" s="15">
        <v>170216.89898045026</v>
      </c>
      <c r="D57" s="15">
        <v>200000</v>
      </c>
      <c r="E57" s="15">
        <v>313607.99766939081</v>
      </c>
      <c r="F57" s="15">
        <v>311756.85681043391</v>
      </c>
    </row>
    <row r="58" spans="1:6" x14ac:dyDescent="0.25">
      <c r="A58" s="22" t="s">
        <v>76</v>
      </c>
      <c r="B58" s="36">
        <v>200000</v>
      </c>
      <c r="C58" s="15">
        <v>100000</v>
      </c>
      <c r="D58" s="15">
        <v>200000</v>
      </c>
      <c r="E58" s="15">
        <v>100000</v>
      </c>
      <c r="F58" s="15">
        <v>200000</v>
      </c>
    </row>
    <row r="59" spans="1:6" x14ac:dyDescent="0.25">
      <c r="A59" s="22" t="s">
        <v>77</v>
      </c>
      <c r="B59" s="36">
        <v>199999.99999999997</v>
      </c>
      <c r="C59" s="15">
        <v>100000</v>
      </c>
      <c r="D59" s="15">
        <v>200000</v>
      </c>
      <c r="E59" s="15">
        <v>159797.75832196139</v>
      </c>
      <c r="F59" s="15">
        <v>200000</v>
      </c>
    </row>
    <row r="60" spans="1:6" x14ac:dyDescent="0.25">
      <c r="A60" s="22" t="s">
        <v>78</v>
      </c>
      <c r="B60" s="36">
        <v>200000</v>
      </c>
      <c r="C60" s="15">
        <v>100000.00000000001</v>
      </c>
      <c r="D60" s="15">
        <v>200000</v>
      </c>
      <c r="E60" s="15">
        <v>159253.43841518575</v>
      </c>
      <c r="F60" s="15">
        <v>200000</v>
      </c>
    </row>
    <row r="61" spans="1:6" x14ac:dyDescent="0.25">
      <c r="A61" s="22" t="s">
        <v>79</v>
      </c>
      <c r="B61" s="36">
        <v>200000</v>
      </c>
      <c r="C61" s="15">
        <v>100000</v>
      </c>
      <c r="D61" s="15">
        <v>200000</v>
      </c>
      <c r="E61" s="15">
        <v>100000</v>
      </c>
      <c r="F61" s="15">
        <v>200000</v>
      </c>
    </row>
    <row r="62" spans="1:6" x14ac:dyDescent="0.25">
      <c r="A62" s="22" t="s">
        <v>80</v>
      </c>
      <c r="B62" s="36">
        <v>317747.03810365289</v>
      </c>
      <c r="C62" s="15">
        <v>158873.51905182644</v>
      </c>
      <c r="D62" s="15">
        <v>200000</v>
      </c>
      <c r="E62" s="15">
        <v>308436.95855502231</v>
      </c>
      <c r="F62" s="15">
        <v>307289.25122246903</v>
      </c>
    </row>
    <row r="63" spans="1:6" x14ac:dyDescent="0.25">
      <c r="A63" s="22" t="s">
        <v>81</v>
      </c>
      <c r="B63" s="36">
        <v>317319.18278264441</v>
      </c>
      <c r="C63" s="15">
        <v>158659.5913913222</v>
      </c>
      <c r="D63" s="15">
        <v>200000</v>
      </c>
      <c r="E63" s="15">
        <v>308436.95855502231</v>
      </c>
      <c r="F63" s="15">
        <v>307289.25122246903</v>
      </c>
    </row>
    <row r="64" spans="1:6" x14ac:dyDescent="0.25">
      <c r="A64" s="22" t="s">
        <v>82</v>
      </c>
      <c r="B64" s="36">
        <v>317920.53299690975</v>
      </c>
      <c r="C64" s="15">
        <v>158960.26649845488</v>
      </c>
      <c r="D64" s="15">
        <v>200000</v>
      </c>
      <c r="E64" s="15">
        <v>308300.87857832841</v>
      </c>
      <c r="F64" s="15">
        <v>307171.68265436467</v>
      </c>
    </row>
    <row r="65" spans="1:6" x14ac:dyDescent="0.25">
      <c r="A65" s="22" t="s">
        <v>83</v>
      </c>
      <c r="B65" s="36">
        <v>316125.74815861555</v>
      </c>
      <c r="C65" s="15">
        <v>158062.87407930777</v>
      </c>
      <c r="D65" s="15">
        <v>200000</v>
      </c>
      <c r="E65" s="15">
        <v>307348.31874147104</v>
      </c>
      <c r="F65" s="15">
        <v>306348.70267763431</v>
      </c>
    </row>
    <row r="66" spans="1:6" x14ac:dyDescent="0.25">
      <c r="A66" s="22" t="s">
        <v>84</v>
      </c>
      <c r="B66" s="36">
        <v>199999.99999999997</v>
      </c>
      <c r="C66" s="15">
        <v>99999.999999999985</v>
      </c>
      <c r="D66" s="15">
        <v>200000.00000000003</v>
      </c>
      <c r="E66" s="15">
        <v>100000</v>
      </c>
      <c r="F66" s="15">
        <v>200000</v>
      </c>
    </row>
    <row r="67" spans="1:6" x14ac:dyDescent="0.25">
      <c r="A67" s="22" t="s">
        <v>85</v>
      </c>
      <c r="B67" s="36">
        <v>200000</v>
      </c>
      <c r="C67" s="15">
        <v>100000</v>
      </c>
      <c r="D67" s="15">
        <v>200000</v>
      </c>
      <c r="E67" s="15">
        <v>100000</v>
      </c>
      <c r="F67" s="15">
        <v>200000</v>
      </c>
    </row>
    <row r="68" spans="1:6" x14ac:dyDescent="0.25">
      <c r="A68" s="22" t="s">
        <v>86</v>
      </c>
      <c r="B68" s="36">
        <v>200000</v>
      </c>
      <c r="C68" s="15">
        <v>100000</v>
      </c>
      <c r="D68" s="15">
        <v>200000</v>
      </c>
      <c r="E68" s="15">
        <v>100000</v>
      </c>
      <c r="F68" s="15">
        <v>200000</v>
      </c>
    </row>
    <row r="69" spans="1:6" x14ac:dyDescent="0.25">
      <c r="A69" s="22" t="s">
        <v>87</v>
      </c>
      <c r="B69" s="36">
        <v>200000</v>
      </c>
      <c r="C69" s="15">
        <v>100000</v>
      </c>
      <c r="D69" s="15">
        <v>200000</v>
      </c>
      <c r="E69" s="15">
        <v>100000</v>
      </c>
      <c r="F69" s="15">
        <v>200000</v>
      </c>
    </row>
    <row r="70" spans="1:6" x14ac:dyDescent="0.25">
      <c r="A70" s="22" t="s">
        <v>88</v>
      </c>
      <c r="B70" s="36">
        <v>308494.58097702928</v>
      </c>
      <c r="C70" s="15">
        <v>154247.29048851464</v>
      </c>
      <c r="D70" s="15">
        <v>200000</v>
      </c>
      <c r="E70" s="15">
        <v>303946.31932412332</v>
      </c>
      <c r="F70" s="15">
        <v>303409.48847502581</v>
      </c>
    </row>
    <row r="71" spans="1:6" x14ac:dyDescent="0.25">
      <c r="A71" s="28" t="s">
        <v>89</v>
      </c>
      <c r="B71" s="38">
        <v>49999999.999999985</v>
      </c>
      <c r="C71" s="15">
        <v>24999999.999999996</v>
      </c>
      <c r="D71" s="15">
        <v>25000000.000000004</v>
      </c>
      <c r="E71" s="15">
        <v>24999999.999999996</v>
      </c>
      <c r="F71" s="15">
        <v>25000000.000000004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1"/>
  <sheetViews>
    <sheetView zoomScale="130" zoomScaleNormal="130" workbookViewId="0">
      <pane ySplit="6" topLeftCell="A7" activePane="bottomLeft" state="frozen"/>
      <selection activeCell="H4" sqref="H4"/>
      <selection pane="bottomLeft" activeCell="B1" sqref="B1"/>
    </sheetView>
  </sheetViews>
  <sheetFormatPr defaultRowHeight="15" x14ac:dyDescent="0.25"/>
  <cols>
    <col min="1" max="1" width="17.85546875" customWidth="1"/>
    <col min="2" max="2" width="13.28515625" bestFit="1" customWidth="1"/>
    <col min="3" max="6" width="14.42578125" customWidth="1"/>
    <col min="8" max="8" width="70.7109375" bestFit="1" customWidth="1"/>
  </cols>
  <sheetData>
    <row r="1" spans="1:8" x14ac:dyDescent="0.25">
      <c r="B1" s="43" t="s">
        <v>93</v>
      </c>
      <c r="C1" s="39">
        <v>0.6</v>
      </c>
      <c r="D1" t="s">
        <v>132</v>
      </c>
      <c r="E1" t="s">
        <v>134</v>
      </c>
      <c r="F1" t="s">
        <v>133</v>
      </c>
    </row>
    <row r="2" spans="1:8" x14ac:dyDescent="0.25">
      <c r="A2" s="8" t="s">
        <v>97</v>
      </c>
      <c r="B2" s="36">
        <v>50000000</v>
      </c>
      <c r="C2" s="15">
        <f>C71</f>
        <v>30000000</v>
      </c>
      <c r="D2" s="15">
        <f>D71</f>
        <v>30000000</v>
      </c>
      <c r="E2" s="15">
        <f>E71</f>
        <v>30000000.000000004</v>
      </c>
      <c r="F2" s="15">
        <f t="shared" ref="F2" si="0">F71</f>
        <v>30000000.000000015</v>
      </c>
    </row>
    <row r="3" spans="1:8" x14ac:dyDescent="0.25">
      <c r="A3" s="8" t="s">
        <v>1</v>
      </c>
      <c r="B3" s="36">
        <v>200000</v>
      </c>
      <c r="C3" s="15">
        <v>120000</v>
      </c>
      <c r="D3" s="15">
        <v>200000</v>
      </c>
      <c r="E3" s="15">
        <v>120000</v>
      </c>
      <c r="F3" s="15">
        <v>200000</v>
      </c>
    </row>
    <row r="4" spans="1:8" ht="30" x14ac:dyDescent="0.25">
      <c r="A4" s="40" t="s">
        <v>135</v>
      </c>
      <c r="B4" s="41">
        <v>150000</v>
      </c>
      <c r="C4" s="42">
        <f>150000*0.6</f>
        <v>90000</v>
      </c>
      <c r="D4" s="42">
        <f>150000*0.6</f>
        <v>90000</v>
      </c>
      <c r="E4" s="42">
        <v>150000</v>
      </c>
      <c r="F4" s="42">
        <v>150000</v>
      </c>
      <c r="G4" s="6" t="s">
        <v>136</v>
      </c>
    </row>
    <row r="5" spans="1:8" x14ac:dyDescent="0.25">
      <c r="A5" s="8" t="s">
        <v>98</v>
      </c>
      <c r="B5" s="36">
        <v>5000000</v>
      </c>
      <c r="C5" s="15">
        <f>5000000*0.6</f>
        <v>3000000</v>
      </c>
      <c r="D5" s="15">
        <f>5000000*0.6</f>
        <v>3000000</v>
      </c>
      <c r="E5" s="15">
        <v>0</v>
      </c>
      <c r="F5" s="15">
        <v>0</v>
      </c>
    </row>
    <row r="6" spans="1:8" ht="60" x14ac:dyDescent="0.25">
      <c r="A6" s="17" t="s">
        <v>8</v>
      </c>
      <c r="B6" s="37" t="s">
        <v>23</v>
      </c>
      <c r="C6" s="17" t="s">
        <v>23</v>
      </c>
      <c r="D6" s="17" t="s">
        <v>23</v>
      </c>
      <c r="E6" s="17" t="s">
        <v>23</v>
      </c>
      <c r="F6" s="17" t="s">
        <v>23</v>
      </c>
    </row>
    <row r="7" spans="1:8" x14ac:dyDescent="0.25">
      <c r="A7" s="22" t="s">
        <v>25</v>
      </c>
      <c r="B7" s="36">
        <v>6333281.7325383266</v>
      </c>
      <c r="C7" s="15">
        <v>3799969.0395229971</v>
      </c>
      <c r="D7" s="15">
        <v>3430216.6488782698</v>
      </c>
      <c r="E7" s="15">
        <v>3382848.2183472342</v>
      </c>
      <c r="F7" s="15">
        <v>3105563.4451224287</v>
      </c>
      <c r="H7" t="s">
        <v>99</v>
      </c>
    </row>
    <row r="8" spans="1:8" x14ac:dyDescent="0.25">
      <c r="A8" s="22" t="s">
        <v>26</v>
      </c>
      <c r="B8" s="36">
        <v>4750436.9605885232</v>
      </c>
      <c r="C8" s="15">
        <v>2850262.1763531142</v>
      </c>
      <c r="D8" s="15">
        <v>2574763.6985727153</v>
      </c>
      <c r="E8" s="15">
        <v>2520523.3510235036</v>
      </c>
      <c r="F8" s="15">
        <v>2313921.4875388206</v>
      </c>
      <c r="H8" t="s">
        <v>100</v>
      </c>
    </row>
    <row r="9" spans="1:8" x14ac:dyDescent="0.25">
      <c r="A9" s="22" t="s">
        <v>27</v>
      </c>
      <c r="B9" s="36">
        <v>4265710.6264605401</v>
      </c>
      <c r="C9" s="15">
        <v>2559426.3758763243</v>
      </c>
      <c r="D9" s="15">
        <v>2292389.2225476978</v>
      </c>
      <c r="E9" s="15">
        <v>2443111.0689916615</v>
      </c>
      <c r="F9" s="15">
        <v>2242854.5233227746</v>
      </c>
      <c r="H9" t="s">
        <v>101</v>
      </c>
    </row>
    <row r="10" spans="1:8" x14ac:dyDescent="0.25">
      <c r="A10" s="22" t="s">
        <v>28</v>
      </c>
      <c r="B10" s="36">
        <v>4328097.9830598915</v>
      </c>
      <c r="C10" s="15">
        <v>2596858.789835935</v>
      </c>
      <c r="D10" s="15">
        <v>2342420.0244631562</v>
      </c>
      <c r="E10" s="15">
        <v>2327848.9764973479</v>
      </c>
      <c r="F10" s="15">
        <v>2137040.2159833969</v>
      </c>
      <c r="H10" t="s">
        <v>102</v>
      </c>
    </row>
    <row r="11" spans="1:8" x14ac:dyDescent="0.25">
      <c r="A11" s="22" t="s">
        <v>29</v>
      </c>
      <c r="B11" s="36">
        <v>3152729.6780499248</v>
      </c>
      <c r="C11" s="15">
        <v>1891637.806829955</v>
      </c>
      <c r="D11" s="15">
        <v>1690363.1154461913</v>
      </c>
      <c r="E11" s="15">
        <v>1841453.2221379841</v>
      </c>
      <c r="F11" s="15">
        <v>1690513.2726790379</v>
      </c>
      <c r="H11" t="s">
        <v>103</v>
      </c>
    </row>
    <row r="12" spans="1:8" x14ac:dyDescent="0.25">
      <c r="A12" s="22" t="s">
        <v>30</v>
      </c>
      <c r="B12" s="36">
        <v>2656163.5515030483</v>
      </c>
      <c r="C12" s="15">
        <v>1593698.1309018289</v>
      </c>
      <c r="D12" s="15">
        <v>1423741.571836242</v>
      </c>
      <c r="E12" s="15">
        <v>1554925.0189537536</v>
      </c>
      <c r="F12" s="15">
        <v>1427471.1684015053</v>
      </c>
      <c r="H12" t="s">
        <v>104</v>
      </c>
    </row>
    <row r="13" spans="1:8" x14ac:dyDescent="0.25">
      <c r="A13" s="22" t="s">
        <v>31</v>
      </c>
      <c r="B13" s="36">
        <v>2778239.3539007171</v>
      </c>
      <c r="C13" s="15">
        <v>1666943.6123404303</v>
      </c>
      <c r="D13" s="15">
        <v>1525197.7080288734</v>
      </c>
      <c r="E13" s="15">
        <v>1296826.9901440491</v>
      </c>
      <c r="F13" s="15">
        <v>1190528.8784157063</v>
      </c>
      <c r="H13" t="s">
        <v>105</v>
      </c>
    </row>
    <row r="14" spans="1:8" x14ac:dyDescent="0.25">
      <c r="A14" s="22" t="s">
        <v>32</v>
      </c>
      <c r="B14" s="36">
        <v>2201525.1203207527</v>
      </c>
      <c r="C14" s="15">
        <v>1320915.0721924519</v>
      </c>
      <c r="D14" s="15">
        <v>1181715.0531141718</v>
      </c>
      <c r="E14" s="15">
        <v>1273534.7990902204</v>
      </c>
      <c r="F14" s="15">
        <v>1169145.8980321172</v>
      </c>
      <c r="H14" t="s">
        <v>106</v>
      </c>
    </row>
    <row r="15" spans="1:8" x14ac:dyDescent="0.25">
      <c r="A15" s="22" t="s">
        <v>33</v>
      </c>
      <c r="B15" s="36">
        <v>1689578.0950854823</v>
      </c>
      <c r="C15" s="15">
        <v>1013746.8570512895</v>
      </c>
      <c r="D15" s="15">
        <v>917976.64489361329</v>
      </c>
      <c r="E15" s="15">
        <v>876197.42228961375</v>
      </c>
      <c r="F15" s="15">
        <v>804377.40913559869</v>
      </c>
      <c r="H15" t="s">
        <v>107</v>
      </c>
    </row>
    <row r="16" spans="1:8" x14ac:dyDescent="0.25">
      <c r="A16" s="22" t="s">
        <v>34</v>
      </c>
      <c r="B16" s="36">
        <v>1073423.2060656031</v>
      </c>
      <c r="C16" s="15">
        <v>644053.92363936198</v>
      </c>
      <c r="D16" s="15">
        <v>576194.85032591852</v>
      </c>
      <c r="E16" s="15">
        <v>620839.65125094797</v>
      </c>
      <c r="F16" s="15">
        <v>569950.76390081027</v>
      </c>
      <c r="H16" t="s">
        <v>108</v>
      </c>
    </row>
    <row r="17" spans="1:8" x14ac:dyDescent="0.25">
      <c r="A17" s="22" t="s">
        <v>35</v>
      </c>
      <c r="B17" s="36">
        <v>910672.74486797652</v>
      </c>
      <c r="C17" s="15">
        <v>546403.64692078589</v>
      </c>
      <c r="D17" s="15">
        <v>487735.96808924613</v>
      </c>
      <c r="E17" s="15">
        <v>536747.99090219894</v>
      </c>
      <c r="F17" s="15">
        <v>492751.91560417641</v>
      </c>
      <c r="H17" t="s">
        <v>109</v>
      </c>
    </row>
    <row r="18" spans="1:8" x14ac:dyDescent="0.25">
      <c r="A18" s="22" t="s">
        <v>36</v>
      </c>
      <c r="B18" s="36">
        <v>876345.65113780741</v>
      </c>
      <c r="C18" s="15">
        <v>525807.39068268449</v>
      </c>
      <c r="D18" s="15">
        <v>481310.55833342794</v>
      </c>
      <c r="E18" s="15">
        <v>407099.54510993196</v>
      </c>
      <c r="F18" s="15">
        <v>373730.47332199337</v>
      </c>
      <c r="H18" t="s">
        <v>110</v>
      </c>
    </row>
    <row r="19" spans="1:8" x14ac:dyDescent="0.25">
      <c r="A19" s="22" t="s">
        <v>37</v>
      </c>
      <c r="B19" s="36">
        <v>638342.89323806134</v>
      </c>
      <c r="C19" s="15">
        <v>383005.73594283685</v>
      </c>
      <c r="D19" s="15">
        <v>343039.08172926394</v>
      </c>
      <c r="E19" s="15">
        <v>365653.14632297214</v>
      </c>
      <c r="F19" s="15">
        <v>335681.34646296001</v>
      </c>
      <c r="H19" t="s">
        <v>111</v>
      </c>
    </row>
    <row r="20" spans="1:8" x14ac:dyDescent="0.25">
      <c r="A20" s="22" t="s">
        <v>38</v>
      </c>
      <c r="B20" s="36">
        <v>614451.5159521664</v>
      </c>
      <c r="C20" s="15">
        <v>368670.90957129985</v>
      </c>
      <c r="D20" s="15">
        <v>329022.49101188657</v>
      </c>
      <c r="E20" s="15">
        <v>362741.62244124355</v>
      </c>
      <c r="F20" s="15">
        <v>333008.47391501133</v>
      </c>
      <c r="H20" t="s">
        <v>112</v>
      </c>
    </row>
    <row r="21" spans="1:8" x14ac:dyDescent="0.25">
      <c r="A21" s="22" t="s">
        <v>39</v>
      </c>
      <c r="B21" s="36">
        <v>556092.76997447363</v>
      </c>
      <c r="C21" s="15">
        <v>333655.66198468424</v>
      </c>
      <c r="D21" s="15">
        <v>296759.04584653332</v>
      </c>
      <c r="E21" s="15">
        <v>337565.50416982576</v>
      </c>
      <c r="F21" s="15">
        <v>309895.98776510265</v>
      </c>
      <c r="H21" t="s">
        <v>113</v>
      </c>
    </row>
    <row r="22" spans="1:8" x14ac:dyDescent="0.25">
      <c r="A22" s="22" t="s">
        <v>40</v>
      </c>
      <c r="B22" s="36">
        <v>478496.18974841497</v>
      </c>
      <c r="C22" s="15">
        <v>287097.713849049</v>
      </c>
      <c r="D22" s="15">
        <v>257389.47954603253</v>
      </c>
      <c r="E22" s="15">
        <v>271799.31766489783</v>
      </c>
      <c r="F22" s="15">
        <v>249520.51374085131</v>
      </c>
      <c r="H22" t="s">
        <v>114</v>
      </c>
    </row>
    <row r="23" spans="1:8" x14ac:dyDescent="0.25">
      <c r="A23" s="22" t="s">
        <v>41</v>
      </c>
      <c r="B23" s="36">
        <v>440041.26219425822</v>
      </c>
      <c r="C23" s="15">
        <v>264024.75731655495</v>
      </c>
      <c r="D23" s="15">
        <v>234503.72045716181</v>
      </c>
      <c r="E23" s="15">
        <v>270086.65655799862</v>
      </c>
      <c r="F23" s="15">
        <v>247948.23577146974</v>
      </c>
      <c r="H23" t="s">
        <v>115</v>
      </c>
    </row>
    <row r="24" spans="1:8" x14ac:dyDescent="0.25">
      <c r="A24" s="22" t="s">
        <v>42</v>
      </c>
      <c r="B24" s="36">
        <v>399406.63637758861</v>
      </c>
      <c r="C24" s="15">
        <v>239643.98182655318</v>
      </c>
      <c r="D24" s="15">
        <v>212893.46713278472</v>
      </c>
      <c r="E24" s="15">
        <v>244739.27217589098</v>
      </c>
      <c r="F24" s="15">
        <v>224678.52182462288</v>
      </c>
      <c r="H24" t="s">
        <v>116</v>
      </c>
    </row>
    <row r="25" spans="1:8" x14ac:dyDescent="0.25">
      <c r="A25" s="22" t="s">
        <v>43</v>
      </c>
      <c r="B25" s="36">
        <v>327455.05685142672</v>
      </c>
      <c r="C25" s="15">
        <v>196473.03411085604</v>
      </c>
      <c r="D25" s="15">
        <v>200000</v>
      </c>
      <c r="E25" s="15">
        <v>186851.32676269911</v>
      </c>
      <c r="F25" s="15">
        <v>200000</v>
      </c>
      <c r="H25" t="s">
        <v>117</v>
      </c>
    </row>
    <row r="26" spans="1:8" x14ac:dyDescent="0.25">
      <c r="A26" s="22" t="s">
        <v>44</v>
      </c>
      <c r="B26" s="36">
        <v>453688.97469889896</v>
      </c>
      <c r="C26" s="15">
        <v>272213.38481933944</v>
      </c>
      <c r="D26" s="15">
        <v>251902.46218621224</v>
      </c>
      <c r="E26" s="15">
        <v>335823.73009855958</v>
      </c>
      <c r="F26" s="15">
        <v>320592.1596778977</v>
      </c>
      <c r="H26" t="s">
        <v>118</v>
      </c>
    </row>
    <row r="27" spans="1:8" x14ac:dyDescent="0.25">
      <c r="A27" s="22" t="s">
        <v>45</v>
      </c>
      <c r="B27" s="36">
        <v>399919.73639395979</v>
      </c>
      <c r="C27" s="15">
        <v>239951.84183637588</v>
      </c>
      <c r="D27" s="15">
        <v>223459.74705316385</v>
      </c>
      <c r="E27" s="15">
        <v>300885.4435178166</v>
      </c>
      <c r="F27" s="15">
        <v>288517.68910251418</v>
      </c>
      <c r="H27" t="s">
        <v>119</v>
      </c>
    </row>
    <row r="28" spans="1:8" x14ac:dyDescent="0.25">
      <c r="A28" s="22" t="s">
        <v>46</v>
      </c>
      <c r="B28" s="36">
        <v>366834.3491772592</v>
      </c>
      <c r="C28" s="15">
        <v>220100.60950635554</v>
      </c>
      <c r="D28" s="15">
        <v>205667.68660299975</v>
      </c>
      <c r="E28" s="15">
        <v>282046.17134192574</v>
      </c>
      <c r="F28" s="15">
        <v>271222.63143931713</v>
      </c>
      <c r="H28" t="s">
        <v>120</v>
      </c>
    </row>
    <row r="29" spans="1:8" x14ac:dyDescent="0.25">
      <c r="A29" s="22" t="s">
        <v>47</v>
      </c>
      <c r="B29" s="36">
        <v>228697.83307189311</v>
      </c>
      <c r="C29" s="15">
        <v>137218.6998431359</v>
      </c>
      <c r="D29" s="15">
        <v>200000</v>
      </c>
      <c r="E29" s="15">
        <v>125366.79302501901</v>
      </c>
      <c r="F29" s="15">
        <v>200000</v>
      </c>
      <c r="H29" t="s">
        <v>121</v>
      </c>
    </row>
    <row r="30" spans="1:8" x14ac:dyDescent="0.25">
      <c r="A30" s="22" t="s">
        <v>48</v>
      </c>
      <c r="B30" s="36">
        <v>216337.51982445637</v>
      </c>
      <c r="C30" s="15">
        <v>129802.51189467384</v>
      </c>
      <c r="D30" s="15">
        <v>200000</v>
      </c>
      <c r="E30" s="15">
        <v>125024.26080363919</v>
      </c>
      <c r="F30" s="15">
        <v>200000</v>
      </c>
      <c r="H30" t="s">
        <v>122</v>
      </c>
    </row>
    <row r="31" spans="1:8" x14ac:dyDescent="0.25">
      <c r="A31" s="22" t="s">
        <v>49</v>
      </c>
      <c r="B31" s="36">
        <v>200000</v>
      </c>
      <c r="C31" s="15">
        <v>120000</v>
      </c>
      <c r="D31" s="15">
        <v>200000</v>
      </c>
      <c r="E31" s="15">
        <v>120000</v>
      </c>
      <c r="F31" s="15">
        <v>200000</v>
      </c>
      <c r="H31" t="s">
        <v>123</v>
      </c>
    </row>
    <row r="32" spans="1:8" x14ac:dyDescent="0.25">
      <c r="A32" s="22" t="s">
        <v>50</v>
      </c>
      <c r="B32" s="36">
        <v>200000</v>
      </c>
      <c r="C32" s="15">
        <v>120000</v>
      </c>
      <c r="D32" s="15">
        <v>199999.99999999997</v>
      </c>
      <c r="E32" s="15">
        <v>120000</v>
      </c>
      <c r="F32" s="15">
        <v>200000</v>
      </c>
      <c r="H32" t="s">
        <v>124</v>
      </c>
    </row>
    <row r="33" spans="1:8" x14ac:dyDescent="0.25">
      <c r="A33" s="22" t="s">
        <v>51</v>
      </c>
      <c r="B33" s="36">
        <v>200000</v>
      </c>
      <c r="C33" s="15">
        <v>120000</v>
      </c>
      <c r="D33" s="15">
        <v>200000</v>
      </c>
      <c r="E33" s="15">
        <v>120000</v>
      </c>
      <c r="F33" s="15">
        <v>200000</v>
      </c>
      <c r="H33" t="s">
        <v>125</v>
      </c>
    </row>
    <row r="34" spans="1:8" x14ac:dyDescent="0.25">
      <c r="A34" s="22" t="s">
        <v>52</v>
      </c>
      <c r="B34" s="36">
        <v>310004.16479366552</v>
      </c>
      <c r="C34" s="15">
        <v>186002.49887619927</v>
      </c>
      <c r="D34" s="15">
        <v>200000</v>
      </c>
      <c r="E34" s="15">
        <v>247964.21531463234</v>
      </c>
      <c r="F34" s="15">
        <v>239934.29984862442</v>
      </c>
      <c r="H34" t="s">
        <v>126</v>
      </c>
    </row>
    <row r="35" spans="1:8" x14ac:dyDescent="0.25">
      <c r="A35" s="22" t="s">
        <v>53</v>
      </c>
      <c r="B35" s="36">
        <v>200000</v>
      </c>
      <c r="C35" s="15">
        <v>120000</v>
      </c>
      <c r="D35" s="15">
        <v>200000</v>
      </c>
      <c r="E35" s="15">
        <v>120000</v>
      </c>
      <c r="F35" s="15">
        <v>200000</v>
      </c>
      <c r="H35" t="s">
        <v>127</v>
      </c>
    </row>
    <row r="36" spans="1:8" x14ac:dyDescent="0.25">
      <c r="A36" s="22" t="s">
        <v>54</v>
      </c>
      <c r="B36" s="36">
        <v>291108.39459820115</v>
      </c>
      <c r="C36" s="15">
        <v>174665.03675892073</v>
      </c>
      <c r="D36" s="15">
        <v>200000</v>
      </c>
      <c r="E36" s="15">
        <v>232721.53146322977</v>
      </c>
      <c r="F36" s="15">
        <v>225941.02592112866</v>
      </c>
      <c r="H36" t="s">
        <v>128</v>
      </c>
    </row>
    <row r="37" spans="1:8" x14ac:dyDescent="0.25">
      <c r="A37" s="22" t="s">
        <v>55</v>
      </c>
      <c r="B37" s="36">
        <v>200000</v>
      </c>
      <c r="C37" s="15">
        <v>120000</v>
      </c>
      <c r="D37" s="15">
        <v>200000</v>
      </c>
      <c r="E37" s="15">
        <v>120000</v>
      </c>
      <c r="F37" s="15">
        <v>200000</v>
      </c>
      <c r="H37" t="s">
        <v>129</v>
      </c>
    </row>
    <row r="38" spans="1:8" x14ac:dyDescent="0.25">
      <c r="A38" s="22" t="s">
        <v>56</v>
      </c>
      <c r="B38" s="36">
        <v>200000.00000000003</v>
      </c>
      <c r="C38" s="15">
        <v>120000</v>
      </c>
      <c r="D38" s="15">
        <v>200000</v>
      </c>
      <c r="E38" s="15">
        <v>120000</v>
      </c>
      <c r="F38" s="15">
        <v>200000</v>
      </c>
      <c r="H38" t="s">
        <v>130</v>
      </c>
    </row>
    <row r="39" spans="1:8" x14ac:dyDescent="0.25">
      <c r="A39" s="22" t="s">
        <v>57</v>
      </c>
      <c r="B39" s="36">
        <v>432615.7130448086</v>
      </c>
      <c r="C39" s="15">
        <v>259569.42782688516</v>
      </c>
      <c r="D39" s="15">
        <v>252175.12880376511</v>
      </c>
      <c r="E39" s="15">
        <v>367650.1137225171</v>
      </c>
      <c r="F39" s="15">
        <v>362104.97979057103</v>
      </c>
      <c r="H39" t="s">
        <v>131</v>
      </c>
    </row>
    <row r="40" spans="1:8" x14ac:dyDescent="0.25">
      <c r="A40" s="22" t="s">
        <v>58</v>
      </c>
      <c r="B40" s="36">
        <v>200000</v>
      </c>
      <c r="C40" s="15">
        <v>120000</v>
      </c>
      <c r="D40" s="15">
        <v>200000</v>
      </c>
      <c r="E40" s="15">
        <v>120000</v>
      </c>
      <c r="F40" s="15">
        <v>200000</v>
      </c>
    </row>
    <row r="41" spans="1:8" x14ac:dyDescent="0.25">
      <c r="A41" s="22" t="s">
        <v>59</v>
      </c>
      <c r="B41" s="36">
        <v>248178.96544906675</v>
      </c>
      <c r="C41" s="15">
        <v>148907.37926944008</v>
      </c>
      <c r="D41" s="15">
        <v>200000</v>
      </c>
      <c r="E41" s="15">
        <v>206860.34874905233</v>
      </c>
      <c r="F41" s="15">
        <v>202199.6285834673</v>
      </c>
    </row>
    <row r="42" spans="1:8" x14ac:dyDescent="0.25">
      <c r="A42" s="22" t="s">
        <v>60</v>
      </c>
      <c r="B42" s="36">
        <v>200000</v>
      </c>
      <c r="C42" s="15">
        <v>120000</v>
      </c>
      <c r="D42" s="15">
        <v>200000</v>
      </c>
      <c r="E42" s="15">
        <v>120000</v>
      </c>
      <c r="F42" s="15">
        <v>200000</v>
      </c>
    </row>
    <row r="43" spans="1:8" x14ac:dyDescent="0.25">
      <c r="A43" s="22" t="s">
        <v>61</v>
      </c>
      <c r="B43" s="36">
        <v>263564.49753761786</v>
      </c>
      <c r="C43" s="15">
        <v>158138.69852257072</v>
      </c>
      <c r="D43" s="15">
        <v>199999.99999999997</v>
      </c>
      <c r="E43" s="15">
        <v>205832.75208491285</v>
      </c>
      <c r="F43" s="15">
        <v>201256.26180183838</v>
      </c>
    </row>
    <row r="44" spans="1:8" x14ac:dyDescent="0.25">
      <c r="A44" s="22" t="s">
        <v>62</v>
      </c>
      <c r="B44" s="36">
        <v>404723.71688785253</v>
      </c>
      <c r="C44" s="15">
        <v>242834.23013271153</v>
      </c>
      <c r="D44" s="15">
        <v>236993.66989166482</v>
      </c>
      <c r="E44" s="15">
        <v>353435.02653525403</v>
      </c>
      <c r="F44" s="15">
        <v>349055.07264470425</v>
      </c>
    </row>
    <row r="45" spans="1:8" x14ac:dyDescent="0.25">
      <c r="A45" s="22" t="s">
        <v>63</v>
      </c>
      <c r="B45" s="36">
        <v>248612.29883708019</v>
      </c>
      <c r="C45" s="15">
        <v>149167.37930224813</v>
      </c>
      <c r="D45" s="15">
        <v>200000</v>
      </c>
      <c r="E45" s="15">
        <v>201893.63153904476</v>
      </c>
      <c r="F45" s="15">
        <v>200000</v>
      </c>
    </row>
    <row r="46" spans="1:8" x14ac:dyDescent="0.25">
      <c r="A46" s="22" t="s">
        <v>64</v>
      </c>
      <c r="B46" s="36">
        <v>391828.43044600292</v>
      </c>
      <c r="C46" s="15">
        <v>235097.05826760177</v>
      </c>
      <c r="D46" s="15">
        <v>229780.65086870026</v>
      </c>
      <c r="E46" s="15">
        <v>348639.57543593633</v>
      </c>
      <c r="F46" s="15">
        <v>344652.69433043589</v>
      </c>
    </row>
    <row r="47" spans="1:8" x14ac:dyDescent="0.25">
      <c r="A47" s="22" t="s">
        <v>65</v>
      </c>
      <c r="B47" s="36">
        <v>200000</v>
      </c>
      <c r="C47" s="15">
        <v>119999.99999999999</v>
      </c>
      <c r="D47" s="15">
        <v>200000</v>
      </c>
      <c r="E47" s="15">
        <v>120000</v>
      </c>
      <c r="F47" s="15">
        <v>200000</v>
      </c>
    </row>
    <row r="48" spans="1:8" x14ac:dyDescent="0.25">
      <c r="A48" s="22" t="s">
        <v>66</v>
      </c>
      <c r="B48" s="36">
        <v>217358.00471586332</v>
      </c>
      <c r="C48" s="15">
        <v>130414.80282951801</v>
      </c>
      <c r="D48" s="15">
        <v>200000</v>
      </c>
      <c r="E48" s="15">
        <v>188877.4071266111</v>
      </c>
      <c r="F48" s="15">
        <v>200000</v>
      </c>
    </row>
    <row r="49" spans="1:6" x14ac:dyDescent="0.25">
      <c r="A49" s="22" t="s">
        <v>67</v>
      </c>
      <c r="B49" s="36">
        <v>200000</v>
      </c>
      <c r="C49" s="15">
        <v>120000</v>
      </c>
      <c r="D49" s="15">
        <v>200000</v>
      </c>
      <c r="E49" s="15">
        <v>120000</v>
      </c>
      <c r="F49" s="15">
        <v>200000</v>
      </c>
    </row>
    <row r="50" spans="1:6" x14ac:dyDescent="0.25">
      <c r="A50" s="22" t="s">
        <v>68</v>
      </c>
      <c r="B50" s="36">
        <v>201085.43219115771</v>
      </c>
      <c r="C50" s="15">
        <v>120651.25931469463</v>
      </c>
      <c r="D50" s="15">
        <v>200000</v>
      </c>
      <c r="E50" s="15">
        <v>180142.83548142534</v>
      </c>
      <c r="F50" s="15">
        <v>200000</v>
      </c>
    </row>
    <row r="51" spans="1:6" x14ac:dyDescent="0.25">
      <c r="A51" s="22" t="s">
        <v>69</v>
      </c>
      <c r="B51" s="36">
        <v>199999.99999999997</v>
      </c>
      <c r="C51" s="15">
        <v>120000</v>
      </c>
      <c r="D51" s="15">
        <v>199999.99999999997</v>
      </c>
      <c r="E51" s="15">
        <v>120000</v>
      </c>
      <c r="F51" s="15">
        <v>200000</v>
      </c>
    </row>
    <row r="52" spans="1:6" x14ac:dyDescent="0.25">
      <c r="A52" s="22" t="s">
        <v>70</v>
      </c>
      <c r="B52" s="36">
        <v>200000</v>
      </c>
      <c r="C52" s="15">
        <v>120000</v>
      </c>
      <c r="D52" s="15">
        <v>200000.00000000003</v>
      </c>
      <c r="E52" s="15">
        <v>171236.99772554968</v>
      </c>
      <c r="F52" s="15">
        <v>200000</v>
      </c>
    </row>
    <row r="53" spans="1:6" x14ac:dyDescent="0.25">
      <c r="A53" s="22" t="s">
        <v>71</v>
      </c>
      <c r="B53" s="36">
        <v>200000</v>
      </c>
      <c r="C53" s="15">
        <v>120000.00000000001</v>
      </c>
      <c r="D53" s="15">
        <v>200000</v>
      </c>
      <c r="E53" s="15">
        <v>170038.13495072024</v>
      </c>
      <c r="F53" s="15">
        <v>200000</v>
      </c>
    </row>
    <row r="54" spans="1:6" x14ac:dyDescent="0.25">
      <c r="A54" s="22" t="s">
        <v>72</v>
      </c>
      <c r="B54" s="36">
        <v>200000.00000000003</v>
      </c>
      <c r="C54" s="15">
        <v>120000</v>
      </c>
      <c r="D54" s="15">
        <v>200000</v>
      </c>
      <c r="E54" s="15">
        <v>120000</v>
      </c>
      <c r="F54" s="15">
        <v>200000</v>
      </c>
    </row>
    <row r="55" spans="1:6" x14ac:dyDescent="0.25">
      <c r="A55" s="22" t="s">
        <v>73</v>
      </c>
      <c r="B55" s="36">
        <v>336910.05943747511</v>
      </c>
      <c r="C55" s="15">
        <v>202146.03566248508</v>
      </c>
      <c r="D55" s="15">
        <v>199999.99999999997</v>
      </c>
      <c r="E55" s="15">
        <v>319695.60272934043</v>
      </c>
      <c r="F55" s="15">
        <v>318081.19664788776</v>
      </c>
    </row>
    <row r="56" spans="1:6" x14ac:dyDescent="0.25">
      <c r="A56" s="22" t="s">
        <v>74</v>
      </c>
      <c r="B56" s="36">
        <v>200000</v>
      </c>
      <c r="C56" s="15">
        <v>120000</v>
      </c>
      <c r="D56" s="15">
        <v>200000</v>
      </c>
      <c r="E56" s="15">
        <v>167469.14329037152</v>
      </c>
      <c r="F56" s="15">
        <v>200000</v>
      </c>
    </row>
    <row r="57" spans="1:6" x14ac:dyDescent="0.25">
      <c r="A57" s="22" t="s">
        <v>75</v>
      </c>
      <c r="B57" s="36">
        <v>340433.79796090053</v>
      </c>
      <c r="C57" s="15">
        <v>204260.2787765403</v>
      </c>
      <c r="D57" s="15">
        <v>202388.30434030737</v>
      </c>
      <c r="E57" s="15">
        <v>317126.61106899165</v>
      </c>
      <c r="F57" s="15">
        <v>315722.77969381545</v>
      </c>
    </row>
    <row r="58" spans="1:6" x14ac:dyDescent="0.25">
      <c r="A58" s="22" t="s">
        <v>76</v>
      </c>
      <c r="B58" s="36">
        <v>200000</v>
      </c>
      <c r="C58" s="15">
        <v>120000</v>
      </c>
      <c r="D58" s="15">
        <v>200000</v>
      </c>
      <c r="E58" s="15">
        <v>120000</v>
      </c>
      <c r="F58" s="15">
        <v>200000</v>
      </c>
    </row>
    <row r="59" spans="1:6" x14ac:dyDescent="0.25">
      <c r="A59" s="22" t="s">
        <v>77</v>
      </c>
      <c r="B59" s="36">
        <v>199999.99999999997</v>
      </c>
      <c r="C59" s="15">
        <v>120000</v>
      </c>
      <c r="D59" s="15">
        <v>199999.99999999997</v>
      </c>
      <c r="E59" s="15">
        <v>162331.15996967402</v>
      </c>
      <c r="F59" s="15">
        <v>200000</v>
      </c>
    </row>
    <row r="60" spans="1:6" x14ac:dyDescent="0.25">
      <c r="A60" s="22" t="s">
        <v>78</v>
      </c>
      <c r="B60" s="36">
        <v>200000</v>
      </c>
      <c r="C60" s="15">
        <v>120000</v>
      </c>
      <c r="D60" s="15">
        <v>200000</v>
      </c>
      <c r="E60" s="15">
        <v>161646.09552691435</v>
      </c>
      <c r="F60" s="15">
        <v>200000</v>
      </c>
    </row>
    <row r="61" spans="1:6" x14ac:dyDescent="0.25">
      <c r="A61" s="22" t="s">
        <v>79</v>
      </c>
      <c r="B61" s="36">
        <v>200000</v>
      </c>
      <c r="C61" s="15">
        <v>120000.00000000001</v>
      </c>
      <c r="D61" s="15">
        <v>200000</v>
      </c>
      <c r="E61" s="15">
        <v>120000</v>
      </c>
      <c r="F61" s="15">
        <v>200000</v>
      </c>
    </row>
    <row r="62" spans="1:6" x14ac:dyDescent="0.25">
      <c r="A62" s="22" t="s">
        <v>80</v>
      </c>
      <c r="B62" s="36">
        <v>317747.03810365289</v>
      </c>
      <c r="C62" s="15">
        <v>190648.2228621917</v>
      </c>
      <c r="D62" s="15">
        <v>200000</v>
      </c>
      <c r="E62" s="15">
        <v>310618.49886277481</v>
      </c>
      <c r="F62" s="15">
        <v>309748.1234101656</v>
      </c>
    </row>
    <row r="63" spans="1:6" x14ac:dyDescent="0.25">
      <c r="A63" s="22" t="s">
        <v>81</v>
      </c>
      <c r="B63" s="36">
        <v>317319.18278264441</v>
      </c>
      <c r="C63" s="15">
        <v>190391.50966958664</v>
      </c>
      <c r="D63" s="15">
        <v>200000</v>
      </c>
      <c r="E63" s="15">
        <v>310618.49886277481</v>
      </c>
      <c r="F63" s="15">
        <v>309748.1234101656</v>
      </c>
    </row>
    <row r="64" spans="1:6" x14ac:dyDescent="0.25">
      <c r="A64" s="22" t="s">
        <v>82</v>
      </c>
      <c r="B64" s="36">
        <v>317920.53299690975</v>
      </c>
      <c r="C64" s="15">
        <v>190752.31979814588</v>
      </c>
      <c r="D64" s="15">
        <v>200000.00000000003</v>
      </c>
      <c r="E64" s="15">
        <v>310447.23275208491</v>
      </c>
      <c r="F64" s="15">
        <v>309590.89561322745</v>
      </c>
    </row>
    <row r="65" spans="1:6" x14ac:dyDescent="0.25">
      <c r="A65" s="22" t="s">
        <v>83</v>
      </c>
      <c r="B65" s="36">
        <v>316125.74815861555</v>
      </c>
      <c r="C65" s="15">
        <v>189675.44889516933</v>
      </c>
      <c r="D65" s="15">
        <v>200000</v>
      </c>
      <c r="E65" s="15">
        <v>309248.36997725553</v>
      </c>
      <c r="F65" s="15">
        <v>308490.30103466037</v>
      </c>
    </row>
    <row r="66" spans="1:6" x14ac:dyDescent="0.25">
      <c r="A66" s="22" t="s">
        <v>84</v>
      </c>
      <c r="B66" s="36">
        <v>199999.99999999997</v>
      </c>
      <c r="C66" s="15">
        <v>120000</v>
      </c>
      <c r="D66" s="15">
        <v>200000</v>
      </c>
      <c r="E66" s="15">
        <v>120000</v>
      </c>
      <c r="F66" s="15">
        <v>200000</v>
      </c>
    </row>
    <row r="67" spans="1:6" x14ac:dyDescent="0.25">
      <c r="A67" s="22" t="s">
        <v>85</v>
      </c>
      <c r="B67" s="36">
        <v>200000</v>
      </c>
      <c r="C67" s="15">
        <v>119999.99999999999</v>
      </c>
      <c r="D67" s="15">
        <v>200000.00000000003</v>
      </c>
      <c r="E67" s="15">
        <v>120000</v>
      </c>
      <c r="F67" s="15">
        <v>200000</v>
      </c>
    </row>
    <row r="68" spans="1:6" x14ac:dyDescent="0.25">
      <c r="A68" s="22" t="s">
        <v>86</v>
      </c>
      <c r="B68" s="36">
        <v>200000</v>
      </c>
      <c r="C68" s="15">
        <v>120000</v>
      </c>
      <c r="D68" s="15">
        <v>200000</v>
      </c>
      <c r="E68" s="15">
        <v>120000</v>
      </c>
      <c r="F68" s="15">
        <v>200000</v>
      </c>
    </row>
    <row r="69" spans="1:6" x14ac:dyDescent="0.25">
      <c r="A69" s="22" t="s">
        <v>87</v>
      </c>
      <c r="B69" s="36">
        <v>200000</v>
      </c>
      <c r="C69" s="15">
        <v>120000</v>
      </c>
      <c r="D69" s="15">
        <v>200000</v>
      </c>
      <c r="E69" s="15">
        <v>120000</v>
      </c>
      <c r="F69" s="15">
        <v>200000</v>
      </c>
    </row>
    <row r="70" spans="1:6" x14ac:dyDescent="0.25">
      <c r="A70" s="22" t="s">
        <v>88</v>
      </c>
      <c r="B70" s="36">
        <v>308494.58097702928</v>
      </c>
      <c r="C70" s="15">
        <v>185096.74858621758</v>
      </c>
      <c r="D70" s="15">
        <v>200000</v>
      </c>
      <c r="E70" s="15">
        <v>304966.7172100076</v>
      </c>
      <c r="F70" s="15">
        <v>304559.60611120646</v>
      </c>
    </row>
    <row r="71" spans="1:6" x14ac:dyDescent="0.25">
      <c r="A71" s="28" t="s">
        <v>89</v>
      </c>
      <c r="B71" s="38">
        <v>49999999.999999985</v>
      </c>
      <c r="C71" s="32">
        <v>30000000</v>
      </c>
      <c r="D71" s="32">
        <v>30000000</v>
      </c>
      <c r="E71" s="32">
        <v>30000000.000000004</v>
      </c>
      <c r="F71" s="32">
        <v>30000000.000000015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 5</vt:lpstr>
      <vt:lpstr>New Options $25M</vt:lpstr>
      <vt:lpstr>New Options $30M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Gould, Sean</dc:creator>
  <cp:lastModifiedBy>Eke, James</cp:lastModifiedBy>
  <dcterms:created xsi:type="dcterms:W3CDTF">2021-02-01T22:33:23Z</dcterms:created>
  <dcterms:modified xsi:type="dcterms:W3CDTF">2021-02-03T20:30:45Z</dcterms:modified>
</cp:coreProperties>
</file>